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060" tabRatio="877" activeTab="0"/>
  </bookViews>
  <sheets>
    <sheet name="Summary" sheetId="1" r:id="rId1"/>
    <sheet name="Players" sheetId="2" r:id="rId2"/>
    <sheet name="Adkisson" sheetId="3" r:id="rId3"/>
    <sheet name="Barton" sheetId="4" r:id="rId4"/>
    <sheet name="Becher" sheetId="5" r:id="rId5"/>
    <sheet name="Biegler" sheetId="6" r:id="rId6"/>
    <sheet name="Chaplin" sheetId="7" r:id="rId7"/>
    <sheet name="Chockalingam" sheetId="8" r:id="rId8"/>
    <sheet name="Fernald" sheetId="9" r:id="rId9"/>
    <sheet name="Goter" sheetId="10" r:id="rId10"/>
    <sheet name="Jagot" sheetId="11" r:id="rId11"/>
    <sheet name="Karl Krenz" sheetId="12" r:id="rId12"/>
    <sheet name="Kurt Krenz" sheetId="13" r:id="rId13"/>
    <sheet name="Kumar" sheetId="14" r:id="rId14"/>
    <sheet name="Meinen" sheetId="15" r:id="rId15"/>
    <sheet name="Rittenhouse" sheetId="16" r:id="rId16"/>
    <sheet name="Ritter" sheetId="17" r:id="rId17"/>
    <sheet name="Shepherd" sheetId="18" r:id="rId18"/>
    <sheet name="Thomas" sheetId="19" r:id="rId19"/>
    <sheet name="Trouy" sheetId="20" r:id="rId20"/>
    <sheet name="WoodfordB" sheetId="21" r:id="rId21"/>
    <sheet name="WoodfordW" sheetId="22" r:id="rId22"/>
  </sheets>
  <definedNames>
    <definedName name="_xlnm.Print_Area" localSheetId="0">'Summary'!$A$1:$U$38</definedName>
  </definedNames>
  <calcPr fullCalcOnLoad="1"/>
</workbook>
</file>

<file path=xl/sharedStrings.xml><?xml version="1.0" encoding="utf-8"?>
<sst xmlns="http://schemas.openxmlformats.org/spreadsheetml/2006/main" count="3077" uniqueCount="807">
  <si>
    <t>FOOTBALL  TEAM  SALARIES</t>
  </si>
  <si>
    <t>Team</t>
  </si>
  <si>
    <t>Signed</t>
  </si>
  <si>
    <t>Active</t>
  </si>
  <si>
    <t>Waived</t>
  </si>
  <si>
    <t>Exempt</t>
  </si>
  <si>
    <t>Net</t>
  </si>
  <si>
    <t>Tax</t>
  </si>
  <si>
    <t>Total</t>
  </si>
  <si>
    <t>Salary</t>
  </si>
  <si>
    <t>Mike Fernald</t>
  </si>
  <si>
    <t>Bill Woodford</t>
  </si>
  <si>
    <t>Kurt Krenz</t>
  </si>
  <si>
    <t>Ben Woodford</t>
  </si>
  <si>
    <t>Rob Barton</t>
  </si>
  <si>
    <t>Jim Rittenhouse</t>
  </si>
  <si>
    <t>Andy Boyd</t>
  </si>
  <si>
    <t>John Adkisson</t>
  </si>
  <si>
    <t>Kannan Chockalingam</t>
  </si>
  <si>
    <t>Hermann Meinen</t>
  </si>
  <si>
    <t>Summary</t>
  </si>
  <si>
    <t>Year</t>
  </si>
  <si>
    <t>Cap</t>
  </si>
  <si>
    <t>Total Points</t>
  </si>
  <si>
    <t>Tournament</t>
  </si>
  <si>
    <t>Net Salary</t>
  </si>
  <si>
    <t>1st</t>
  </si>
  <si>
    <t>5th</t>
  </si>
  <si>
    <t>2nd</t>
  </si>
  <si>
    <t>6th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</si>
  <si>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</si>
  <si>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</si>
  <si>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</si>
  <si>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</si>
  <si>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</si>
  <si>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</si>
  <si>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</si>
  <si>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</si>
  <si>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</si>
  <si>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</si>
  <si>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</si>
  <si>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</si>
  <si>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</si>
  <si>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</si>
  <si>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</si>
  <si>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</si>
  <si>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</si>
  <si>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Kannan Chocklingam</t>
  </si>
  <si>
    <t>Players</t>
  </si>
  <si>
    <t>Average</t>
  </si>
  <si>
    <t>ACTIVE ROSTER</t>
  </si>
  <si>
    <t>Player</t>
  </si>
  <si>
    <t>Pos</t>
  </si>
  <si>
    <t>Acqrd</t>
  </si>
  <si>
    <t>Thru</t>
  </si>
  <si>
    <t>Ten</t>
  </si>
  <si>
    <t>FA</t>
  </si>
  <si>
    <t>Stl</t>
  </si>
  <si>
    <t>KC</t>
  </si>
  <si>
    <t>GB</t>
  </si>
  <si>
    <t>Phi</t>
  </si>
  <si>
    <t>Ind</t>
  </si>
  <si>
    <t>Oak</t>
  </si>
  <si>
    <t>NO</t>
  </si>
  <si>
    <t>NYJ</t>
  </si>
  <si>
    <t>Atl</t>
  </si>
  <si>
    <t>Jac</t>
  </si>
  <si>
    <t>TB</t>
  </si>
  <si>
    <t>NYG</t>
  </si>
  <si>
    <t>Sea</t>
  </si>
  <si>
    <t>NE</t>
  </si>
  <si>
    <t>Ari</t>
  </si>
  <si>
    <t>Det</t>
  </si>
  <si>
    <t>SD</t>
  </si>
  <si>
    <t>WAIVED PLAYER CONTRACTS</t>
  </si>
  <si>
    <t>Waive</t>
  </si>
  <si>
    <t>Dal</t>
  </si>
  <si>
    <t>Cin</t>
  </si>
  <si>
    <t>Pit</t>
  </si>
  <si>
    <t>Car</t>
  </si>
  <si>
    <t>Mia</t>
  </si>
  <si>
    <t>Chi</t>
  </si>
  <si>
    <t>Hou</t>
  </si>
  <si>
    <t>Bal</t>
  </si>
  <si>
    <t>Den</t>
  </si>
  <si>
    <t>Min</t>
  </si>
  <si>
    <t>SF</t>
  </si>
  <si>
    <t>Was</t>
  </si>
  <si>
    <t>Cle</t>
  </si>
  <si>
    <t>Buf</t>
  </si>
  <si>
    <t>Smith, Steve</t>
  </si>
  <si>
    <t>Mani Kumar</t>
  </si>
  <si>
    <t>Geoff Biegler</t>
  </si>
  <si>
    <t>Crabtree, Michael</t>
  </si>
  <si>
    <t>Maclin, Jeremy</t>
  </si>
  <si>
    <t>Trades:</t>
  </si>
  <si>
    <t>Points</t>
  </si>
  <si>
    <t>Tourney</t>
  </si>
  <si>
    <t>Win</t>
  </si>
  <si>
    <t>Tony Chaplin</t>
  </si>
  <si>
    <t>Spikes, Brandon</t>
  </si>
  <si>
    <t>Burnett, Morgan</t>
  </si>
  <si>
    <t>Luke Jagot</t>
  </si>
  <si>
    <t>Rodgers, Aaron</t>
  </si>
  <si>
    <t>Carpenter, Dan</t>
  </si>
  <si>
    <t>Harris, David</t>
  </si>
  <si>
    <t>Dunlap, Carlos</t>
  </si>
  <si>
    <t>Todman, Jordan</t>
  </si>
  <si>
    <t>Jeff Trouy</t>
  </si>
  <si>
    <t>Luck, Andrew</t>
  </si>
  <si>
    <t>Griffin III, Robert</t>
  </si>
  <si>
    <t>Richardson, Trent</t>
  </si>
  <si>
    <t>Martin, Doug</t>
  </si>
  <si>
    <t>Blackmon, Justin</t>
  </si>
  <si>
    <t>Jax</t>
  </si>
  <si>
    <t>Wilson, David</t>
  </si>
  <si>
    <t>Pead, Isaiah</t>
  </si>
  <si>
    <t>Wright, Kendall</t>
  </si>
  <si>
    <t>Floyd, Michael</t>
  </si>
  <si>
    <t>Jeffery, Alshon</t>
  </si>
  <si>
    <t>Willis, Patrick</t>
  </si>
  <si>
    <t>Janikowski, Sebastian</t>
  </si>
  <si>
    <t>Anderson, James</t>
  </si>
  <si>
    <t>Tillman, Charles</t>
  </si>
  <si>
    <t>Bowman, Navarro</t>
  </si>
  <si>
    <t>Quick, Brian</t>
  </si>
  <si>
    <t>Hill, Stephen</t>
  </si>
  <si>
    <t>Hillman, Ronnie</t>
  </si>
  <si>
    <t>Gordon, Josh</t>
  </si>
  <si>
    <t>Tannehill, Ryan</t>
  </si>
  <si>
    <t>Suggs, Terrell</t>
  </si>
  <si>
    <t>Bailey, Dan</t>
  </si>
  <si>
    <t>Randle, Rueben</t>
  </si>
  <si>
    <t>Weedon, Brandon</t>
  </si>
  <si>
    <t>Broyles, Ryan</t>
  </si>
  <si>
    <t>Miller, Lamar</t>
  </si>
  <si>
    <t>Fleener, Coby</t>
  </si>
  <si>
    <t>Brown, Bryce</t>
  </si>
  <si>
    <t>Rainey, Chris</t>
  </si>
  <si>
    <t>Wilson, Russell</t>
  </si>
  <si>
    <t>Brown, Antonio</t>
  </si>
  <si>
    <t>Posluszny, Paul</t>
  </si>
  <si>
    <t>Weddle, Eric</t>
  </si>
  <si>
    <t>James, LaMichael</t>
  </si>
  <si>
    <t>Turbin, Robert</t>
  </si>
  <si>
    <t>Foles, Nick</t>
  </si>
  <si>
    <t>Wagner, Bobby</t>
  </si>
  <si>
    <t>Byrd, Jarious</t>
  </si>
  <si>
    <t>Kuechly, Luke</t>
  </si>
  <si>
    <t>Barron, Mark</t>
  </si>
  <si>
    <t>Givens, Chris</t>
  </si>
  <si>
    <t>Ingram, Melvin</t>
  </si>
  <si>
    <t>Pierce, Bernard</t>
  </si>
  <si>
    <t>Ballard, Vick</t>
  </si>
  <si>
    <t>Graham, T.J.</t>
  </si>
  <si>
    <t>Osweiler, Brock</t>
  </si>
  <si>
    <t>Toon, Nick</t>
  </si>
  <si>
    <t>Allen, Dwayne</t>
  </si>
  <si>
    <t>Martin, Keshawn</t>
  </si>
  <si>
    <t>Streater, Rod</t>
  </si>
  <si>
    <t>Jones, Marvin</t>
  </si>
  <si>
    <t>Nugent, Mike</t>
  </si>
  <si>
    <t>Beason, Jon</t>
  </si>
  <si>
    <t>Baldwin, Doug</t>
  </si>
  <si>
    <t>Lee, Sean</t>
  </si>
  <si>
    <t>Sanu, Mohamed</t>
  </si>
  <si>
    <t>Bush, Michael</t>
  </si>
  <si>
    <t>Watt, J.J.</t>
  </si>
  <si>
    <t>Chandler, Scott</t>
  </si>
  <si>
    <t>Scott, Da'rel</t>
  </si>
  <si>
    <t>Irvin, Bruce</t>
  </si>
  <si>
    <t>Hilton, T.Y.</t>
  </si>
  <si>
    <t>Bennett, Earl</t>
  </si>
  <si>
    <t>David, Levonte</t>
  </si>
  <si>
    <t>Smith, Harrison</t>
  </si>
  <si>
    <t>Moreno, Knowshon</t>
  </si>
  <si>
    <t>Abraham, John</t>
  </si>
  <si>
    <t>Barth, Connor</t>
  </si>
  <si>
    <t>Brinkley, Jasper</t>
  </si>
  <si>
    <t>McCarthy, Colin</t>
  </si>
  <si>
    <t>Harrell, Graham</t>
  </si>
  <si>
    <t>Pitta, Dennis</t>
  </si>
  <si>
    <t>Woodley, Lamarr</t>
  </si>
  <si>
    <t>Rogers, Carlos</t>
  </si>
  <si>
    <t>Quinn, Robert</t>
  </si>
  <si>
    <t>Brazill, Lavon</t>
  </si>
  <si>
    <t>Morris, Alfred</t>
  </si>
  <si>
    <t>Gray, Cyrus</t>
  </si>
  <si>
    <t>Gabe Ritter</t>
  </si>
  <si>
    <t>Bernard, Giovanni</t>
  </si>
  <si>
    <t>Hunter, Justin</t>
  </si>
  <si>
    <t>Bell, Laveon</t>
  </si>
  <si>
    <t>Lacy, Eddie</t>
  </si>
  <si>
    <t>Williams, Terrance</t>
  </si>
  <si>
    <t>Ball, Montee</t>
  </si>
  <si>
    <t>Thomkins, Kembrell</t>
  </si>
  <si>
    <t>Austin, Tavon</t>
  </si>
  <si>
    <t>Jones, Jarvis</t>
  </si>
  <si>
    <t>Patton, Quinton</t>
  </si>
  <si>
    <t>Hopkins, DeAndre</t>
  </si>
  <si>
    <t>Ansah, Ziggy</t>
  </si>
  <si>
    <t>Cyprien, John</t>
  </si>
  <si>
    <t>Bostic, Jon</t>
  </si>
  <si>
    <t>Patterson, Cordarrelle</t>
  </si>
  <si>
    <t>Murray, Latavius</t>
  </si>
  <si>
    <t>Manuel, E.J.</t>
  </si>
  <si>
    <t>Swearinger, D.J.</t>
  </si>
  <si>
    <t>Robinson, Denard</t>
  </si>
  <si>
    <t>Dobson, Aaron</t>
  </si>
  <si>
    <t>Alonso, Kiko</t>
  </si>
  <si>
    <t>Franklin, Johnathan</t>
  </si>
  <si>
    <t>Davis, Knile</t>
  </si>
  <si>
    <t>Gillislee, Mike</t>
  </si>
  <si>
    <t>Glennon, Mike</t>
  </si>
  <si>
    <t>Allen, Keenan</t>
  </si>
  <si>
    <t>Ertz, Zack</t>
  </si>
  <si>
    <t>Lattimore, Marcus</t>
  </si>
  <si>
    <t>Eifert, Tyler</t>
  </si>
  <si>
    <t>Taylor, Stepfan</t>
  </si>
  <si>
    <t>Barkley, Matt</t>
  </si>
  <si>
    <t>Randle, Joseph</t>
  </si>
  <si>
    <t>Stills, Kenny</t>
  </si>
  <si>
    <t>Woods, Robert</t>
  </si>
  <si>
    <t>Sturgis, Caleb</t>
  </si>
  <si>
    <t>Michael, Christine</t>
  </si>
  <si>
    <t>Smith, Geno</t>
  </si>
  <si>
    <t>Wheaton, Markus</t>
  </si>
  <si>
    <t>Stacey, Zac</t>
  </si>
  <si>
    <t>Sherman, Richard</t>
  </si>
  <si>
    <t>Walsh, Blair</t>
  </si>
  <si>
    <t>Brown, Zach</t>
  </si>
  <si>
    <t>McFadden, Darren</t>
  </si>
  <si>
    <t>Cameron, Jordan</t>
  </si>
  <si>
    <t>Flacco, Joe</t>
  </si>
  <si>
    <t>Bradshaw, Ahmad</t>
  </si>
  <si>
    <t>Wake, Cameron</t>
  </si>
  <si>
    <t>Jenkins, Janoris</t>
  </si>
  <si>
    <t>Houston, Justin</t>
  </si>
  <si>
    <t>Stewart, Jonathan</t>
  </si>
  <si>
    <t>Cassel, Matt</t>
  </si>
  <si>
    <t>Atkins, Geno</t>
  </si>
  <si>
    <t>Jones, Chandler</t>
  </si>
  <si>
    <t>Johnson, Michael</t>
  </si>
  <si>
    <t>Bell, Joique</t>
  </si>
  <si>
    <t>Ogletree, Alec</t>
  </si>
  <si>
    <t>Moore, William</t>
  </si>
  <si>
    <t>Mathieu, Tyrann</t>
  </si>
  <si>
    <t>Wright, Jarius</t>
  </si>
  <si>
    <t>Carter, Bruce</t>
  </si>
  <si>
    <t>Sanders, Ace</t>
  </si>
  <si>
    <t>Jones, Jacoby</t>
  </si>
  <si>
    <t>Zuerlein, Greg</t>
  </si>
  <si>
    <t>Galette, Junior</t>
  </si>
  <si>
    <t>Kendricks, Mychal</t>
  </si>
  <si>
    <t>Brown, Arthur</t>
  </si>
  <si>
    <t>Vaccaro, Kenny</t>
  </si>
  <si>
    <t>Jordan, Dion</t>
  </si>
  <si>
    <t>Williams, Cary</t>
  </si>
  <si>
    <t>Kelce, Travis</t>
  </si>
  <si>
    <t>Jenkins, A.J.</t>
  </si>
  <si>
    <t>Jones, Reshad</t>
  </si>
  <si>
    <t>Dunbar, Lance</t>
  </si>
  <si>
    <t>Wood, Cierre</t>
  </si>
  <si>
    <t>Hauschka, Steve</t>
  </si>
  <si>
    <t>Goodwin, Marquise</t>
  </si>
  <si>
    <t>Ninkovich, Rob</t>
  </si>
  <si>
    <t>Polk, Chris</t>
  </si>
  <si>
    <t>Mingo, Barkevious</t>
  </si>
  <si>
    <t>Housler, Rob</t>
  </si>
  <si>
    <t>Boykin, Brandon</t>
  </si>
  <si>
    <t>Ellington, Andre</t>
  </si>
  <si>
    <t>Burfict, Vontize</t>
  </si>
  <si>
    <t>Elam, Matt</t>
  </si>
  <si>
    <t>Millner, Dee</t>
  </si>
  <si>
    <t>9th</t>
  </si>
  <si>
    <t>10th</t>
  </si>
  <si>
    <t>11th</t>
  </si>
  <si>
    <t>12th</t>
  </si>
  <si>
    <t>Phillip Goter</t>
  </si>
  <si>
    <t>Scott Thomas</t>
  </si>
  <si>
    <t>Keith Becher</t>
  </si>
  <si>
    <t>Watkins, Sammy</t>
  </si>
  <si>
    <t>Evans, Mike</t>
  </si>
  <si>
    <t>Cooks, Brandin</t>
  </si>
  <si>
    <t>Matthews, Jordan</t>
  </si>
  <si>
    <t>ACTIVE ROSTER BREAKDOWN</t>
  </si>
  <si>
    <t>Projected Needs</t>
  </si>
  <si>
    <t>Adams, Davante</t>
  </si>
  <si>
    <t>Hyde, Carlos</t>
  </si>
  <si>
    <t>Manziel, Johnny</t>
  </si>
  <si>
    <t>Benjamin, Kelvin</t>
  </si>
  <si>
    <t>Ebron, Eric</t>
  </si>
  <si>
    <t>Hill, Jeremy</t>
  </si>
  <si>
    <t>Bridgewater, Teddy</t>
  </si>
  <si>
    <t>West, Terrance</t>
  </si>
  <si>
    <t>Freeman, Devonta</t>
  </si>
  <si>
    <t>Bortles, Blake</t>
  </si>
  <si>
    <t>Williams, Andre</t>
  </si>
  <si>
    <t>Beckham, Odell</t>
  </si>
  <si>
    <t>White, James</t>
  </si>
  <si>
    <t>Clowney, Jadaveon</t>
  </si>
  <si>
    <t>Lee, Marquise</t>
  </si>
  <si>
    <t>Latimer, Cody</t>
  </si>
  <si>
    <t>Sefarian-Jenkins, A</t>
  </si>
  <si>
    <t>Amaro, Jace</t>
  </si>
  <si>
    <t>Brown, John</t>
  </si>
  <si>
    <t>Carr, Derek</t>
  </si>
  <si>
    <t>Robinson, Allen</t>
  </si>
  <si>
    <t>Moncrief, Donte</t>
  </si>
  <si>
    <t>Archer, Dri</t>
  </si>
  <si>
    <t>Brees, Drew</t>
  </si>
  <si>
    <t>Davis, Vernon</t>
  </si>
  <si>
    <t>Laurinaitis, James</t>
  </si>
  <si>
    <t>Landry, Jarvis</t>
  </si>
  <si>
    <t>Mason, Tre</t>
  </si>
  <si>
    <t>Gilbert, Justin</t>
  </si>
  <si>
    <t>Blue, Alfred</t>
  </si>
  <si>
    <t>Shazier, Ryan</t>
  </si>
  <si>
    <t>Carey, Ka'deem</t>
  </si>
  <si>
    <t>Thomas, De'Anthony</t>
  </si>
  <si>
    <t>Mosley, C.J.</t>
  </si>
  <si>
    <t>Pryor, Calvin</t>
  </si>
  <si>
    <t>Bucannon, Deone</t>
  </si>
  <si>
    <t>Johnson, Storm</t>
  </si>
  <si>
    <t>Rodgers, Richard</t>
  </si>
  <si>
    <t>Novak, Nick</t>
  </si>
  <si>
    <t>Trevathan, Danny</t>
  </si>
  <si>
    <t>Cushing, Brian</t>
  </si>
  <si>
    <t>Forte, Matt</t>
  </si>
  <si>
    <t>Clay, Charles</t>
  </si>
  <si>
    <t>Stafford, Matt</t>
  </si>
  <si>
    <t>Mack, Khalil</t>
  </si>
  <si>
    <t>Smith, Telvin</t>
  </si>
  <si>
    <t>Wilkerson, Muhamm</t>
  </si>
  <si>
    <t>Matthews, Clay</t>
  </si>
  <si>
    <t>Reed, Jordan</t>
  </si>
  <si>
    <t>Ryan, Matt</t>
  </si>
  <si>
    <t>Mitchell, Mike</t>
  </si>
  <si>
    <t>Peppers, Julius</t>
  </si>
  <si>
    <t>Griffin, Ryan</t>
  </si>
  <si>
    <t>Reid, Eric</t>
  </si>
  <si>
    <t>Gipson, Tashaun</t>
  </si>
  <si>
    <t>Clinton-Dix, Ha Ha</t>
  </si>
  <si>
    <t>Jordan, Cameron</t>
  </si>
  <si>
    <t>Amendola, Danny</t>
  </si>
  <si>
    <t>Barr, Anthony</t>
  </si>
  <si>
    <t>Sankey, Bishop</t>
  </si>
  <si>
    <t>Smith, Daryl</t>
  </si>
  <si>
    <t>Harvin, Percy</t>
  </si>
  <si>
    <t>Gano, Graham</t>
  </si>
  <si>
    <t>Niklas, Troy</t>
  </si>
  <si>
    <t>Johnson, Charles</t>
  </si>
  <si>
    <t>Jennings, Rashad</t>
  </si>
  <si>
    <t>Asiata, Matt</t>
  </si>
  <si>
    <t>Anderson, C.J.</t>
  </si>
  <si>
    <t>Tuck, Justin</t>
  </si>
  <si>
    <t>Levy, Deandre</t>
  </si>
  <si>
    <t>Davis, Thomas</t>
  </si>
  <si>
    <t>Boykin, Jarret</t>
  </si>
  <si>
    <t>McCoy, Gerald</t>
  </si>
  <si>
    <t>Worilds, Jason</t>
  </si>
  <si>
    <t>Ryans, DeMeco</t>
  </si>
  <si>
    <t>Cook, Jared</t>
  </si>
  <si>
    <t>Ihedigbo, James</t>
  </si>
  <si>
    <t>Green, Ladarius</t>
  </si>
  <si>
    <t>Bryant, Martavis</t>
  </si>
  <si>
    <t>Hurns, Allen</t>
  </si>
  <si>
    <t>Richardson, Paul</t>
  </si>
  <si>
    <t>McKinnon, Jerrick</t>
  </si>
  <si>
    <t>Fiedorewicz, C.J.</t>
  </si>
  <si>
    <t>Haden, Joe</t>
  </si>
  <si>
    <t>R14</t>
  </si>
  <si>
    <t>A14</t>
  </si>
  <si>
    <t>R13</t>
  </si>
  <si>
    <t>R12</t>
  </si>
  <si>
    <t>A12</t>
  </si>
  <si>
    <t>Taliaferro, Lorenzo</t>
  </si>
  <si>
    <t>Kearse, Jermaine</t>
  </si>
  <si>
    <t>Pace, Calvin</t>
  </si>
  <si>
    <t>Cunningham, Benny</t>
  </si>
  <si>
    <t>Graham, Garrett</t>
  </si>
  <si>
    <t>Cousins, Kirk</t>
  </si>
  <si>
    <t>Brooks, Ahmad</t>
  </si>
  <si>
    <t>Crowell, Isaiah</t>
  </si>
  <si>
    <t>Ben Shepherd</t>
  </si>
  <si>
    <t>Gordon, Melvin</t>
  </si>
  <si>
    <t>R15</t>
  </si>
  <si>
    <t>Smith, Devin</t>
  </si>
  <si>
    <t>Gurley, Todd</t>
  </si>
  <si>
    <t>Williams, Maxx</t>
  </si>
  <si>
    <t>Cooper, Amari</t>
  </si>
  <si>
    <t>Conley, Chris</t>
  </si>
  <si>
    <t>Yeldon, T.J.</t>
  </si>
  <si>
    <t>Hardy, Justin</t>
  </si>
  <si>
    <t>Parker, Devante</t>
  </si>
  <si>
    <t>Strong, Jaelen</t>
  </si>
  <si>
    <t>Johnson, David</t>
  </si>
  <si>
    <t>Abdullah, Ameer</t>
  </si>
  <si>
    <t>Beasley, Vic</t>
  </si>
  <si>
    <t>Ajayi, Jay</t>
  </si>
  <si>
    <t>Winston, Jameis</t>
  </si>
  <si>
    <t>White, Kevin</t>
  </si>
  <si>
    <t>Perriman, Breshad</t>
  </si>
  <si>
    <t>Mariota, Marcus</t>
  </si>
  <si>
    <t>Langford, Jeremy</t>
  </si>
  <si>
    <t>Funchess, Devin</t>
  </si>
  <si>
    <t>Allen, Javorius</t>
  </si>
  <si>
    <t>Coleman, Tevin</t>
  </si>
  <si>
    <t>Cobb, David</t>
  </si>
  <si>
    <t>Dorsett, Phillip</t>
  </si>
  <si>
    <t>Green-Beckham, D</t>
  </si>
  <si>
    <t>Johnson, Duke</t>
  </si>
  <si>
    <t>Robinson, Josh</t>
  </si>
  <si>
    <t>Lockett, Tyler</t>
  </si>
  <si>
    <t>Jones, Matt</t>
  </si>
  <si>
    <t>Davis, Mike</t>
  </si>
  <si>
    <t>Kendricks, Eric</t>
  </si>
  <si>
    <t>Artis-Payne, Cameron</t>
  </si>
  <si>
    <t>Anthonty, Stephone</t>
  </si>
  <si>
    <t>McKinney, Benardrick</t>
  </si>
  <si>
    <t>Walford, Clive</t>
  </si>
  <si>
    <t>Williams, Leondard</t>
  </si>
  <si>
    <t>Gregory, Randy</t>
  </si>
  <si>
    <t>Edwards, Mario</t>
  </si>
  <si>
    <t>Collins, Landon</t>
  </si>
  <si>
    <t>Agholor, Nelson</t>
  </si>
  <si>
    <t>Johnson, Rashad</t>
  </si>
  <si>
    <t>A15</t>
  </si>
  <si>
    <t>Marshall, Brandon</t>
  </si>
  <si>
    <t>Brady, Tom</t>
  </si>
  <si>
    <t>Decker, Eric</t>
  </si>
  <si>
    <t>Hughes, Jerry</t>
  </si>
  <si>
    <t>Blount, LaGarrette</t>
  </si>
  <si>
    <t>Bradford, Sam</t>
  </si>
  <si>
    <t>Jackson, DeSean</t>
  </si>
  <si>
    <t>Parkey, Cody</t>
  </si>
  <si>
    <t>Vinatieri, Adam</t>
  </si>
  <si>
    <t>Matthews, Ryan</t>
  </si>
  <si>
    <t>Edelman, Julian</t>
  </si>
  <si>
    <t>Rivers, Philip</t>
  </si>
  <si>
    <t>Bethea, Antoine</t>
  </si>
  <si>
    <t>Manning, Eli</t>
  </si>
  <si>
    <t>Pierre-Paul, Jason</t>
  </si>
  <si>
    <t>Folk, Nick</t>
  </si>
  <si>
    <t>Bennett, Martellus</t>
  </si>
  <si>
    <t>McCourty, Jason</t>
  </si>
  <si>
    <t>Coleman, Brandon</t>
  </si>
  <si>
    <t>Bush, Reggie</t>
  </si>
  <si>
    <t>Searcy, Da'Norris</t>
  </si>
  <si>
    <t>Jackson, Vincent</t>
  </si>
  <si>
    <t>Starks, James</t>
  </si>
  <si>
    <t>Griffen, Everson</t>
  </si>
  <si>
    <t>Roethliesberger, Ben</t>
  </si>
  <si>
    <t>Fuller, Kyle</t>
  </si>
  <si>
    <t>Brown, Corey</t>
  </si>
  <si>
    <t>Jenkins, Jelani</t>
  </si>
  <si>
    <t>Forbath, Kai</t>
  </si>
  <si>
    <t>Williams, Damien</t>
  </si>
  <si>
    <t>Kruger, Paul</t>
  </si>
  <si>
    <t>Gerhardt, Toby</t>
  </si>
  <si>
    <t>Bradham, Nigel</t>
  </si>
  <si>
    <t>Richardson, Sheldon</t>
  </si>
  <si>
    <t>Vernon, Olivier</t>
  </si>
  <si>
    <t>Petty, Bryce</t>
  </si>
  <si>
    <t>Wallace, Mike</t>
  </si>
  <si>
    <t>Davis, Vontae</t>
  </si>
  <si>
    <t>LaFell, Brandon</t>
  </si>
  <si>
    <t>Sims, Charles</t>
  </si>
  <si>
    <t>Garcon, Pierre</t>
  </si>
  <si>
    <t>Wright, K.J</t>
  </si>
  <si>
    <t>Carrie, T.J.</t>
  </si>
  <si>
    <t>Royal, Eddie</t>
  </si>
  <si>
    <t>Campbell, Calais</t>
  </si>
  <si>
    <t>Church, Barry</t>
  </si>
  <si>
    <t>Garoppolo, Jimmmy</t>
  </si>
  <si>
    <t>Hoyer, Brian</t>
  </si>
  <si>
    <t>Miller, Heath</t>
  </si>
  <si>
    <t>Clemons, Chris</t>
  </si>
  <si>
    <t>Whitaker, Fozzy</t>
  </si>
  <si>
    <t>Taylor, Tyrod</t>
  </si>
  <si>
    <t>Oliver, Brandon</t>
  </si>
  <si>
    <t>Donald, Aaron</t>
  </si>
  <si>
    <t>White, Roddy</t>
  </si>
  <si>
    <t>Fitzgerald, Larry</t>
  </si>
  <si>
    <t>Perryman, Denzel</t>
  </si>
  <si>
    <t>Cruz, Victor</t>
  </si>
  <si>
    <t>Thomas, Earl</t>
  </si>
  <si>
    <t>Jagot received Quigly's 2017 2nd round pick</t>
  </si>
  <si>
    <t>Quigly received Jagot's 2017 1st round pick</t>
  </si>
  <si>
    <t>Catanzaro, Chandler</t>
  </si>
  <si>
    <t>Foster, Arian</t>
  </si>
  <si>
    <t>Tulloch, Stephen</t>
  </si>
  <si>
    <t>Waynes, Trae</t>
  </si>
  <si>
    <t>Janis, Jeff</t>
  </si>
  <si>
    <t>Crockett, John</t>
  </si>
  <si>
    <t>Grayson, Garrett</t>
  </si>
  <si>
    <t>Johnson, Steve</t>
  </si>
  <si>
    <t>Ray, Shane</t>
  </si>
  <si>
    <t>Williams, Karlos</t>
  </si>
  <si>
    <t>Okafor, Alex</t>
  </si>
  <si>
    <t>Zenner, Zach</t>
  </si>
  <si>
    <t>Nelson, J.J.</t>
  </si>
  <si>
    <t>Dawson, P.J.</t>
  </si>
  <si>
    <t>Thompson, Shaq</t>
  </si>
  <si>
    <t>Coates, Sammie</t>
  </si>
  <si>
    <t>Orchard, Nate</t>
  </si>
  <si>
    <t>Cole, Trent</t>
  </si>
  <si>
    <t>FR16</t>
  </si>
  <si>
    <t>Karl Krenz</t>
  </si>
  <si>
    <t>McCoy, Lesean</t>
  </si>
  <si>
    <t>Newton, Cam</t>
  </si>
  <si>
    <t>Tucker, Justin</t>
  </si>
  <si>
    <t>Green, AJ</t>
  </si>
  <si>
    <t>Jones, Julio</t>
  </si>
  <si>
    <t>Elliott, Ezekial</t>
  </si>
  <si>
    <t>R16</t>
  </si>
  <si>
    <t>Fuller, Will</t>
  </si>
  <si>
    <t>Henry, Derek</t>
  </si>
  <si>
    <t>Doctson, Josh</t>
  </si>
  <si>
    <t>Shepard, Sterling</t>
  </si>
  <si>
    <t>Treadwell, Laquan</t>
  </si>
  <si>
    <t>Coleman, Cory</t>
  </si>
  <si>
    <t>Thomas, Michael</t>
  </si>
  <si>
    <t>Booker, Devontae</t>
  </si>
  <si>
    <t>Dixon, Kenneth</t>
  </si>
  <si>
    <t>Washington, DeAndre</t>
  </si>
  <si>
    <t>Boyd, Tyler</t>
  </si>
  <si>
    <t>Perkins, Paul</t>
  </si>
  <si>
    <t>Higgins, Rashard</t>
  </si>
  <si>
    <t>Howard, Jordan</t>
  </si>
  <si>
    <t>Goff, Jared</t>
  </si>
  <si>
    <t>LA</t>
  </si>
  <si>
    <t>Lee, Darron</t>
  </si>
  <si>
    <t>Wentz, Carson</t>
  </si>
  <si>
    <t>Smallwood, Wendell</t>
  </si>
  <si>
    <t>Lynch, Paxton</t>
  </si>
  <si>
    <t>Higbee, Tyler</t>
  </si>
  <si>
    <t>Marshall, Keith</t>
  </si>
  <si>
    <t>Williams, Jonathan</t>
  </si>
  <si>
    <t>Drake, Kenyan</t>
  </si>
  <si>
    <t>Jones, Deion</t>
  </si>
  <si>
    <t>Prosise, CJ</t>
  </si>
  <si>
    <t>Henry, Hunter</t>
  </si>
  <si>
    <t>Ervin, Tyler</t>
  </si>
  <si>
    <t>Sharpe, Tajae</t>
  </si>
  <si>
    <t>Prescott, Dak</t>
  </si>
  <si>
    <t>Cooper, Pharoh</t>
  </si>
  <si>
    <t>Bosa, Joey</t>
  </si>
  <si>
    <t>Miller, Braxton</t>
  </si>
  <si>
    <t>Boehringer, Moritz</t>
  </si>
  <si>
    <t>Floyd, Leonard</t>
  </si>
  <si>
    <t>Jack, Myles</t>
  </si>
  <si>
    <t>Chockalingam received Fernald's 2017 2nd round pick</t>
  </si>
  <si>
    <t>Driskel, Jeff</t>
  </si>
  <si>
    <t>Carroo, Leonte</t>
  </si>
  <si>
    <t>Mitchell, Malcolm</t>
  </si>
  <si>
    <t>Palmer, Carson</t>
  </si>
  <si>
    <t>A16</t>
  </si>
  <si>
    <t>Peterson, Adrian</t>
  </si>
  <si>
    <t>Gronkowski, Rob</t>
  </si>
  <si>
    <t>Gostkowski, Stephen</t>
  </si>
  <si>
    <t>Bryant, Dez</t>
  </si>
  <si>
    <t>Peters, Marcus</t>
  </si>
  <si>
    <t>Miller, Von</t>
  </si>
  <si>
    <t>Romo, Tony</t>
  </si>
  <si>
    <t>Ingram, Mark</t>
  </si>
  <si>
    <t>Jackson, D'Qwell</t>
  </si>
  <si>
    <t>Olsen, Greg</t>
  </si>
  <si>
    <t>Coleman, Kurt</t>
  </si>
  <si>
    <t>Lawson, Shaq</t>
  </si>
  <si>
    <t>Dalton, Andy</t>
  </si>
  <si>
    <t>Charles, Jamaal</t>
  </si>
  <si>
    <t>Nelson, Jordy</t>
  </si>
  <si>
    <t>Collins, Jamie</t>
  </si>
  <si>
    <t>Graham, Shayne</t>
  </si>
  <si>
    <t>Walker, Delanie</t>
  </si>
  <si>
    <t>Johnson, Trumaine</t>
  </si>
  <si>
    <t>Goter received Krenz's 2017 2nd round pick</t>
  </si>
  <si>
    <t>Rawls, Thomas</t>
  </si>
  <si>
    <t>Johnson, Derrick</t>
  </si>
  <si>
    <t>Parker, Ron</t>
  </si>
  <si>
    <t>Boswell, Chris</t>
  </si>
  <si>
    <t>Fitzpatrick, Ryan</t>
  </si>
  <si>
    <t>Thomas, Julius</t>
  </si>
  <si>
    <t>Dansby, Karlos</t>
  </si>
  <si>
    <t>Thomas, Demaryius</t>
  </si>
  <si>
    <t>Gore, Frank</t>
  </si>
  <si>
    <t>Tate, Golden</t>
  </si>
  <si>
    <t>Nelson, Reggie</t>
  </si>
  <si>
    <t>Cobb, Randall</t>
  </si>
  <si>
    <t>Timmons, Lawrence</t>
  </si>
  <si>
    <t>Murray, DeMarco</t>
  </si>
  <si>
    <t>Jenkins, Malcolm</t>
  </si>
  <si>
    <t>Smith, Malcolm</t>
  </si>
  <si>
    <t>Barnidge, Gary</t>
  </si>
  <si>
    <t>Cutler, Jay</t>
  </si>
  <si>
    <t>Brown, Josh</t>
  </si>
  <si>
    <t>Sanders, Emmanuel</t>
  </si>
  <si>
    <t>Ivory, Chris</t>
  </si>
  <si>
    <t>Norman, Josh</t>
  </si>
  <si>
    <t>Woodhead, Danny</t>
  </si>
  <si>
    <t>Graham, Corey</t>
  </si>
  <si>
    <t>Avril, Cliff</t>
  </si>
  <si>
    <t>Benjamin, Travis</t>
  </si>
  <si>
    <t>Freeman, Jerrell</t>
  </si>
  <si>
    <t>Cox, Fletcher</t>
  </si>
  <si>
    <t>Adams, Mike</t>
  </si>
  <si>
    <t>Santos, Cairo</t>
  </si>
  <si>
    <t>Gates, Antonio</t>
  </si>
  <si>
    <t>McCown, Josh</t>
  </si>
  <si>
    <t>Smith, Alex</t>
  </si>
  <si>
    <t>Williams, DeAngelo</t>
  </si>
  <si>
    <t>Hightower, Tim</t>
  </si>
  <si>
    <t>Witten, Jason</t>
  </si>
  <si>
    <t>Snead, Willie</t>
  </si>
  <si>
    <t>Matthews, Rishard</t>
  </si>
  <si>
    <t>Rittenhouse received Fernald's 2017 1st round pick</t>
  </si>
  <si>
    <t>Fernald recevied Rittenhouse's 2017 2nd round pick</t>
  </si>
  <si>
    <t>Diggs, Stefon</t>
  </si>
  <si>
    <t>Brown, Preston</t>
  </si>
  <si>
    <t>Alexander, Kwon</t>
  </si>
  <si>
    <t>Forsett, Justin</t>
  </si>
  <si>
    <t>Powell, Bilal</t>
  </si>
  <si>
    <t>Jones, Adam</t>
  </si>
  <si>
    <t>Mercilus, Whitney</t>
  </si>
  <si>
    <t>Siemien, Trevor</t>
  </si>
  <si>
    <t>Rudolph, Kyle</t>
  </si>
  <si>
    <t>Gould, Robbie</t>
  </si>
  <si>
    <t>Amerson, Dave</t>
  </si>
  <si>
    <t>Sanchez, Mark</t>
  </si>
  <si>
    <t>Aiken, Kamar</t>
  </si>
  <si>
    <t>Graham, Jimmy</t>
  </si>
  <si>
    <t>Vereen, Shane</t>
  </si>
  <si>
    <t>Smith, Torrey</t>
  </si>
  <si>
    <t>Crosby, Mason</t>
  </si>
  <si>
    <t>Bennett, Michael</t>
  </si>
  <si>
    <t>Lewis, Dion</t>
  </si>
  <si>
    <t>Kaepernick, Colin</t>
  </si>
  <si>
    <t>Boldin, Anquan</t>
  </si>
  <si>
    <t>Riddick, Theo</t>
  </si>
  <si>
    <t>Berry, Eric</t>
  </si>
  <si>
    <t>Bryant, Matt</t>
  </si>
  <si>
    <t>Miller, Zach</t>
  </si>
  <si>
    <t>Sproles, Darren</t>
  </si>
  <si>
    <t xml:space="preserve">Curry, Vinny </t>
  </si>
  <si>
    <t>McDonald, T.J.</t>
  </si>
  <si>
    <t>McDonald, Vance</t>
  </si>
  <si>
    <t>Davis, Demario</t>
  </si>
  <si>
    <t>McManus, Brandon</t>
  </si>
  <si>
    <t>Johnson, Chris</t>
  </si>
  <si>
    <t>Gabbert, Blaine</t>
  </si>
  <si>
    <t>Ware, Spencer</t>
  </si>
  <si>
    <t>Hicks, Jordan</t>
  </si>
  <si>
    <t>Ramsey, Jalen</t>
  </si>
  <si>
    <t>Hogan, Chris</t>
  </si>
  <si>
    <t>Tye, Will</t>
  </si>
  <si>
    <t>Keenum, Case</t>
  </si>
  <si>
    <t>Breeland, Brashaud</t>
  </si>
  <si>
    <t>Robinson, Khiry</t>
  </si>
  <si>
    <t>Green, Virgil</t>
  </si>
  <si>
    <t>Geathers, Clayton</t>
  </si>
  <si>
    <t>Ayers, Robert</t>
  </si>
  <si>
    <t>Tamme, Jacob</t>
  </si>
  <si>
    <t>Williams, Mario</t>
  </si>
  <si>
    <t>Orr, Zachary</t>
  </si>
  <si>
    <t>Foster, Mason</t>
  </si>
  <si>
    <t>Hopkins, Dustin</t>
  </si>
  <si>
    <t>Ginn, Ted</t>
  </si>
  <si>
    <t>Aguayo, Robert</t>
  </si>
  <si>
    <t>Washington, Dwayne</t>
  </si>
  <si>
    <t>Orakpo, Brian</t>
  </si>
  <si>
    <t>Sheard, Jabaal</t>
  </si>
  <si>
    <t>Hall, DeAngelo</t>
  </si>
  <si>
    <t>Heeney, Ben</t>
  </si>
  <si>
    <t>Joseph, Karl</t>
  </si>
  <si>
    <t>Hooper, Austin</t>
  </si>
  <si>
    <t>Lambo, Josh</t>
  </si>
  <si>
    <t>Britt, Kenny</t>
  </si>
  <si>
    <t>Draughn, Shane</t>
  </si>
  <si>
    <t>Buckner, DeForest</t>
  </si>
  <si>
    <t>Campbell, Ibraheim</t>
  </si>
  <si>
    <t>Brate, Cameron</t>
  </si>
  <si>
    <t>Martinez, Blake</t>
  </si>
  <si>
    <t>Crowder, Jamison</t>
  </si>
  <si>
    <t>Thompson, Chris</t>
  </si>
  <si>
    <t>Kelley, Robert</t>
  </si>
  <si>
    <t>Huff, Josh</t>
  </si>
  <si>
    <t>Fowler, Dante</t>
  </si>
  <si>
    <t>Pryor, Terrelle</t>
  </si>
  <si>
    <t>C</t>
  </si>
  <si>
    <t>Spiller, CJ</t>
  </si>
  <si>
    <t>FA16</t>
  </si>
  <si>
    <t>Roberts, Seth</t>
  </si>
  <si>
    <t>Randall, Damarious</t>
  </si>
  <si>
    <t>James, Jesse</t>
  </si>
  <si>
    <t>Chancellor, Kam</t>
  </si>
  <si>
    <t>Lynch, Marshawn</t>
  </si>
  <si>
    <t>Rodgers-Cromartie</t>
  </si>
  <si>
    <t>Rogers, Eli</t>
  </si>
  <si>
    <t>Johnson, Andre</t>
  </si>
  <si>
    <t>Barner, Kenjon</t>
  </si>
  <si>
    <t>Williams, Tyrell</t>
  </si>
  <si>
    <t>LAC</t>
  </si>
  <si>
    <t>Blake, Valentino</t>
  </si>
  <si>
    <t>Jefferson, Tony</t>
  </si>
  <si>
    <t>Hali, Tamba</t>
  </si>
  <si>
    <t>Ogbah, Emmanuel</t>
  </si>
  <si>
    <t>Prater, Matt</t>
  </si>
  <si>
    <t>Neal, Keanu</t>
  </si>
  <si>
    <t>Abbrederis, Jared</t>
  </si>
  <si>
    <t>Kerrigan, Ryan</t>
  </si>
  <si>
    <t>Lowery, Dwight</t>
  </si>
  <si>
    <t>LAR</t>
  </si>
  <si>
    <t>Darby, Ronald</t>
  </si>
  <si>
    <t>Richard, Jalen</t>
  </si>
  <si>
    <t>Moore, Sio</t>
  </si>
  <si>
    <t>Kerley, Jeremy</t>
  </si>
  <si>
    <t>Abdul-Quddus, Isa</t>
  </si>
  <si>
    <t>Beasley, Cole</t>
  </si>
  <si>
    <t>McLendon, Steve</t>
  </si>
  <si>
    <t>Ware, DeMarcus</t>
  </si>
  <si>
    <t>Pitta. Dennis</t>
  </si>
  <si>
    <t>McGloin, Matt</t>
  </si>
  <si>
    <t>Short, Kawann</t>
  </si>
  <si>
    <t>Hill, Tyreek</t>
  </si>
  <si>
    <t>Lutz, Wil</t>
  </si>
  <si>
    <t>Robertson, Craig</t>
  </si>
  <si>
    <t>James, Corey</t>
  </si>
  <si>
    <t>Oal</t>
  </si>
  <si>
    <t>Wilhoite, Michael</t>
  </si>
  <si>
    <t>Kirksey, Christian</t>
  </si>
  <si>
    <t>Ihenacho, Duke</t>
  </si>
  <si>
    <t>Bellore, Nick</t>
  </si>
  <si>
    <t>Addae, Jahleel</t>
  </si>
  <si>
    <t>Ryan, Jake</t>
  </si>
  <si>
    <t>Whitehead, Tahir</t>
  </si>
  <si>
    <t>Peterson, Patrick</t>
  </si>
  <si>
    <t>Rodgers, Jacquizz</t>
  </si>
  <si>
    <t>Montgomery, Ty</t>
  </si>
  <si>
    <t>Graham, Brandon</t>
  </si>
  <si>
    <t>Brown, Jatavis</t>
  </si>
  <si>
    <t>McDougald, Bradley</t>
  </si>
  <si>
    <t>Chung, Patrick</t>
  </si>
  <si>
    <t>Inman, Dontrelle</t>
  </si>
  <si>
    <t>Hunter, Danielle</t>
  </si>
  <si>
    <t>Alexander, Lorenzo</t>
  </si>
  <si>
    <t>Tolzien, Scott</t>
  </si>
  <si>
    <t>Gabriel, Taylor</t>
  </si>
  <si>
    <t>Brisset, Jacoby</t>
  </si>
  <si>
    <t>Kessler, Cody</t>
  </si>
  <si>
    <t>Myers, Jason</t>
  </si>
  <si>
    <t>Dawson, Phil</t>
  </si>
  <si>
    <t>Dumervil, Elvis</t>
  </si>
  <si>
    <t>Clark, Frank</t>
  </si>
  <si>
    <t>Golden, Markus</t>
  </si>
  <si>
    <t>Ngakoue, Yannick</t>
  </si>
  <si>
    <t>Butler, Malcom</t>
  </si>
  <si>
    <t>Joseph, Linval</t>
  </si>
  <si>
    <t>Bruton Jr., David</t>
  </si>
  <si>
    <t>Talib, Aqib</t>
  </si>
  <si>
    <t>Morgan, Derrick</t>
  </si>
  <si>
    <t>Ward, T.J.</t>
  </si>
  <si>
    <t>Harris, DuJuan</t>
  </si>
  <si>
    <t>Ishmael, Kemal</t>
  </si>
  <si>
    <t>McLeod, Rodney</t>
  </si>
  <si>
    <t>Perry, Nick</t>
  </si>
  <si>
    <t>Barber, Peyton</t>
  </si>
  <si>
    <t>Ford, Dee</t>
  </si>
  <si>
    <t>Hunt, Akeem</t>
  </si>
  <si>
    <t>Succop, Ryan</t>
  </si>
  <si>
    <t>Enunwa, Quincy</t>
  </si>
  <si>
    <t>Darkwa, Orleans</t>
  </si>
  <si>
    <t>Suh, Ndamukong</t>
  </si>
  <si>
    <t>Hayward, Casey</t>
  </si>
  <si>
    <t>Murphy, Trent</t>
  </si>
  <si>
    <t>Smith, Antone</t>
  </si>
  <si>
    <t>Wolfe, Derek</t>
  </si>
  <si>
    <t>Bibbs, Kapri</t>
  </si>
  <si>
    <t>Compton, Will</t>
  </si>
  <si>
    <t>Walden, Erik</t>
  </si>
  <si>
    <t>Anderson, Derek</t>
  </si>
  <si>
    <t>Williamson, Avery</t>
  </si>
  <si>
    <t>Lewis, Marcedes</t>
  </si>
  <si>
    <t>Franks, Andrew</t>
  </si>
  <si>
    <t>Kendricks, Lance</t>
  </si>
  <si>
    <t>Jackson, Don</t>
  </si>
  <si>
    <t>West, Charcandrick</t>
  </si>
  <si>
    <t>Thielen, Adam</t>
  </si>
  <si>
    <t>Burkhead, Rex</t>
  </si>
  <si>
    <t>Cooper, Marcus</t>
  </si>
  <si>
    <t>Meredith, Cameron</t>
  </si>
  <si>
    <t>Shead, Deshawn</t>
  </si>
  <si>
    <t>Maxwell, Byron</t>
  </si>
  <si>
    <t>Young, Willie</t>
  </si>
  <si>
    <t>Doyle, Jack</t>
  </si>
  <si>
    <t>Trufant, Desmond</t>
  </si>
  <si>
    <t>Jones, Byron</t>
  </si>
  <si>
    <t>Cox, Perrish</t>
  </si>
  <si>
    <t>Humphries, Adam</t>
  </si>
  <si>
    <t>Wilson, Marquess</t>
  </si>
  <si>
    <t>Farrow, Kenneth</t>
  </si>
  <si>
    <t>Collins, Alex</t>
  </si>
  <si>
    <t>Hyde, Micah</t>
  </si>
  <si>
    <t>Davis, Todd</t>
  </si>
  <si>
    <t>Gresham, Jermaine</t>
  </si>
  <si>
    <t>Updated January 10, 2017 at 2 PM CT</t>
  </si>
  <si>
    <t>Krenz received Kumar's 2017 1st round pick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</si>
</sst>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51"/>
      <name val="Bookman Old Style"/>
      <family val="1"/>
    </font>
    <font>
      <b/>
      <u val="single"/>
      <sz val="10"/>
      <name val="Arial"/>
      <family val="2"/>
    </font>
    <font>
      <b/>
      <sz val="12"/>
      <color indexed="17"/>
      <name val="Bookman Old Style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14"/>
      <color indexed="17"/>
      <name val="Calibri"/>
      <family val="2"/>
    </font>
    <font>
      <sz val="14"/>
      <color indexed="17"/>
      <name val="Calibri"/>
      <family val="2"/>
    </font>
    <font>
      <sz val="8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5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0"/>
      <color indexed="5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44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4" fontId="6" fillId="0" borderId="0" xfId="44" applyFont="1" applyAlignment="1" applyProtection="1">
      <alignment/>
      <protection/>
    </xf>
    <xf numFmtId="44" fontId="6" fillId="0" borderId="0" xfId="44" applyFont="1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/>
    </xf>
    <xf numFmtId="0" fontId="0" fillId="0" borderId="0" xfId="44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 locked="0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42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164" fontId="16" fillId="33" borderId="0" xfId="42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42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42" applyNumberFormat="1" applyFont="1" applyAlignment="1">
      <alignment/>
    </xf>
    <xf numFmtId="0" fontId="23" fillId="0" borderId="0" xfId="0" applyFont="1" applyAlignment="1">
      <alignment/>
    </xf>
    <xf numFmtId="43" fontId="21" fillId="0" borderId="0" xfId="42" applyFont="1" applyAlignment="1">
      <alignment/>
    </xf>
    <xf numFmtId="43" fontId="21" fillId="0" borderId="0" xfId="0" applyNumberFormat="1" applyFont="1" applyAlignment="1">
      <alignment/>
    </xf>
    <xf numFmtId="44" fontId="21" fillId="0" borderId="0" xfId="44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42" applyNumberFormat="1" applyFont="1" applyBorder="1" applyAlignment="1">
      <alignment/>
    </xf>
    <xf numFmtId="43" fontId="21" fillId="0" borderId="10" xfId="42" applyFont="1" applyBorder="1" applyAlignment="1">
      <alignment/>
    </xf>
    <xf numFmtId="43" fontId="24" fillId="0" borderId="10" xfId="0" applyNumberFormat="1" applyFont="1" applyBorder="1" applyAlignment="1">
      <alignment/>
    </xf>
    <xf numFmtId="44" fontId="22" fillId="0" borderId="0" xfId="44" applyFont="1" applyAlignment="1">
      <alignment horizontal="center"/>
    </xf>
    <xf numFmtId="0" fontId="25" fillId="0" borderId="0" xfId="0" applyFont="1" applyAlignment="1">
      <alignment/>
    </xf>
    <xf numFmtId="44" fontId="25" fillId="0" borderId="0" xfId="44" applyFont="1" applyAlignment="1">
      <alignment/>
    </xf>
    <xf numFmtId="0" fontId="1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43" fontId="12" fillId="0" borderId="0" xfId="42" applyFont="1" applyAlignment="1">
      <alignment horizontal="center"/>
    </xf>
    <xf numFmtId="164" fontId="12" fillId="0" borderId="0" xfId="42" applyNumberFormat="1" applyFont="1" applyAlignment="1">
      <alignment horizontal="center"/>
    </xf>
    <xf numFmtId="43" fontId="12" fillId="0" borderId="0" xfId="42" applyFont="1" applyAlignment="1">
      <alignment/>
    </xf>
    <xf numFmtId="0" fontId="12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43" fontId="12" fillId="0" borderId="10" xfId="42" applyFont="1" applyBorder="1" applyAlignment="1">
      <alignment horizontal="center"/>
    </xf>
    <xf numFmtId="164" fontId="12" fillId="0" borderId="10" xfId="42" applyNumberFormat="1" applyFont="1" applyBorder="1" applyAlignment="1">
      <alignment/>
    </xf>
    <xf numFmtId="43" fontId="12" fillId="0" borderId="10" xfId="42" applyFont="1" applyBorder="1" applyAlignment="1">
      <alignment/>
    </xf>
    <xf numFmtId="0" fontId="22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164" fontId="12" fillId="0" borderId="0" xfId="42" applyNumberFormat="1" applyFont="1" applyAlignment="1">
      <alignment/>
    </xf>
    <xf numFmtId="43" fontId="12" fillId="0" borderId="0" xfId="42" applyFont="1" applyAlignment="1">
      <alignment/>
    </xf>
    <xf numFmtId="43" fontId="21" fillId="0" borderId="0" xfId="42" applyFont="1" applyAlignment="1">
      <alignment/>
    </xf>
    <xf numFmtId="43" fontId="12" fillId="0" borderId="0" xfId="42" applyFont="1" applyAlignment="1">
      <alignment horizontal="center"/>
    </xf>
    <xf numFmtId="0" fontId="23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62" fillId="33" borderId="0" xfId="0" applyFont="1" applyFill="1" applyAlignment="1">
      <alignment/>
    </xf>
    <xf numFmtId="165" fontId="12" fillId="0" borderId="0" xfId="58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3" fontId="18" fillId="0" borderId="10" xfId="42" applyFont="1" applyBorder="1" applyAlignment="1">
      <alignment horizontal="center"/>
    </xf>
    <xf numFmtId="0" fontId="18" fillId="0" borderId="0" xfId="0" applyFont="1" applyAlignment="1">
      <alignment horizontal="right"/>
    </xf>
    <xf numFmtId="43" fontId="18" fillId="0" borderId="0" xfId="0" applyNumberFormat="1" applyFont="1" applyAlignment="1">
      <alignment horizontal="center"/>
    </xf>
    <xf numFmtId="43" fontId="18" fillId="0" borderId="0" xfId="42" applyFont="1" applyBorder="1" applyAlignment="1">
      <alignment horizontal="center"/>
    </xf>
    <xf numFmtId="0" fontId="22" fillId="0" borderId="0" xfId="0" applyFont="1" applyAlignment="1">
      <alignment horizontal="center"/>
    </xf>
    <xf numFmtId="44" fontId="22" fillId="0" borderId="0" xfId="44" applyFont="1" applyBorder="1" applyAlignment="1">
      <alignment horizontal="center"/>
    </xf>
    <xf numFmtId="0" fontId="11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42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4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0.7109375" style="40" customWidth="1"/>
    <col min="2" max="2" width="1.7109375" style="40" customWidth="1"/>
    <col min="3" max="3" width="5.7109375" style="40" customWidth="1"/>
    <col min="4" max="8" width="7.7109375" style="40" customWidth="1"/>
    <col min="9" max="9" width="8.7109375" style="40" customWidth="1"/>
    <col min="10" max="10" width="1.7109375" style="40" customWidth="1"/>
    <col min="11" max="11" width="5.7109375" style="40" customWidth="1"/>
    <col min="12" max="12" width="7.7109375" style="40" customWidth="1"/>
    <col min="13" max="13" width="1.7109375" style="40" customWidth="1"/>
    <col min="14" max="14" width="5.7109375" style="40" customWidth="1"/>
    <col min="15" max="15" width="7.7109375" style="40" customWidth="1"/>
    <col min="16" max="16" width="1.7109375" style="40" customWidth="1"/>
    <col min="17" max="17" width="5.7109375" style="40" customWidth="1"/>
    <col min="18" max="18" width="7.7109375" style="40" customWidth="1"/>
    <col min="19" max="19" width="1.7109375" style="40" customWidth="1"/>
    <col min="20" max="20" width="5.7109375" style="40" customWidth="1"/>
    <col min="21" max="21" width="7.7109375" style="40" customWidth="1"/>
    <col min="22" max="22" width="2.7109375" style="40" customWidth="1"/>
    <col min="23" max="24" width="8.7109375" style="41" customWidth="1"/>
    <col min="25" max="25" width="9.421875" style="42" bestFit="1" customWidth="1"/>
    <col min="26" max="16384" width="9.140625" style="40" customWidth="1"/>
  </cols>
  <sheetData>
    <row r="1" spans="1:21" ht="18.75">
      <c r="A1" s="102" t="s">
        <v>0</v>
      </c>
      <c r="B1" s="36"/>
      <c r="C1" s="36"/>
      <c r="D1" s="36"/>
      <c r="E1" s="36"/>
      <c r="F1" s="37"/>
      <c r="G1" s="37"/>
      <c r="H1" s="37"/>
      <c r="I1" s="37"/>
      <c r="J1" s="37"/>
      <c r="K1" s="38"/>
      <c r="L1" s="37"/>
      <c r="M1" s="39"/>
      <c r="N1" s="39"/>
      <c r="O1" s="39"/>
      <c r="P1" s="114" t="s">
        <v>805</v>
      </c>
      <c r="Q1" s="114"/>
      <c r="R1" s="114"/>
      <c r="S1" s="114"/>
      <c r="T1" s="114"/>
      <c r="U1" s="114"/>
    </row>
    <row r="2" ht="7.5" customHeight="1"/>
    <row r="3" spans="3:25" s="43" customFormat="1" ht="15" customHeight="1">
      <c r="C3" s="115">
        <v>2016</v>
      </c>
      <c r="D3" s="115"/>
      <c r="E3" s="115"/>
      <c r="F3" s="115"/>
      <c r="G3" s="115"/>
      <c r="H3" s="115"/>
      <c r="I3" s="115"/>
      <c r="J3" s="44"/>
      <c r="K3" s="115">
        <v>2017</v>
      </c>
      <c r="L3" s="115"/>
      <c r="M3" s="44"/>
      <c r="N3" s="115">
        <v>2018</v>
      </c>
      <c r="O3" s="115"/>
      <c r="P3" s="44"/>
      <c r="Q3" s="115">
        <v>2019</v>
      </c>
      <c r="R3" s="115"/>
      <c r="S3" s="44"/>
      <c r="T3" s="115">
        <v>2020</v>
      </c>
      <c r="U3" s="115"/>
      <c r="W3" s="45" t="s">
        <v>96</v>
      </c>
      <c r="X3" s="45" t="s">
        <v>97</v>
      </c>
      <c r="Y3" s="46" t="s">
        <v>98</v>
      </c>
    </row>
    <row r="4" spans="3:25" s="43" customFormat="1" ht="7.5" customHeight="1">
      <c r="C4" s="47"/>
      <c r="D4" s="47"/>
      <c r="E4" s="47"/>
      <c r="F4" s="47"/>
      <c r="G4" s="47"/>
      <c r="H4" s="47"/>
      <c r="I4" s="47"/>
      <c r="J4" s="48"/>
      <c r="K4" s="49"/>
      <c r="L4" s="49"/>
      <c r="M4" s="48"/>
      <c r="N4" s="47"/>
      <c r="O4" s="47"/>
      <c r="P4" s="48"/>
      <c r="Q4" s="49"/>
      <c r="R4" s="49"/>
      <c r="S4" s="48"/>
      <c r="T4" s="47"/>
      <c r="U4" s="47"/>
      <c r="W4" s="50"/>
      <c r="X4" s="50"/>
      <c r="Y4" s="51"/>
    </row>
    <row r="5" spans="1:25" s="53" customFormat="1" ht="15">
      <c r="A5" s="52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4" t="s">
        <v>7</v>
      </c>
      <c r="I5" s="54" t="s">
        <v>8</v>
      </c>
      <c r="J5" s="55"/>
      <c r="K5" s="54" t="s">
        <v>2</v>
      </c>
      <c r="L5" s="54" t="s">
        <v>9</v>
      </c>
      <c r="M5" s="55"/>
      <c r="N5" s="54" t="s">
        <v>2</v>
      </c>
      <c r="O5" s="54" t="s">
        <v>9</v>
      </c>
      <c r="P5" s="55"/>
      <c r="Q5" s="54" t="s">
        <v>2</v>
      </c>
      <c r="R5" s="54" t="s">
        <v>9</v>
      </c>
      <c r="S5" s="55"/>
      <c r="T5" s="54" t="s">
        <v>2</v>
      </c>
      <c r="U5" s="54" t="s">
        <v>9</v>
      </c>
      <c r="W5" s="56"/>
      <c r="X5" s="56"/>
      <c r="Y5" s="57"/>
    </row>
    <row r="6" spans="23:25" s="43" customFormat="1" ht="7.5" customHeight="1">
      <c r="W6" s="50"/>
      <c r="X6" s="50"/>
      <c r="Y6" s="51"/>
    </row>
    <row r="7" spans="1:25" s="53" customFormat="1" ht="15" customHeight="1">
      <c r="A7" s="58" t="s">
        <v>17</v>
      </c>
      <c r="C7" s="57">
        <f>+COUNTIF(Adkisson!$I$5:$I$29,"&gt;0")</f>
        <v>25</v>
      </c>
      <c r="D7" s="59">
        <f>+Adkisson!I31</f>
        <v>301.59999999999997</v>
      </c>
      <c r="E7" s="59">
        <f>+Adkisson!I65</f>
        <v>94.65</v>
      </c>
      <c r="F7" s="59">
        <f>-6.2-14.75-0.8-0.75-2.75</f>
        <v>-25.25</v>
      </c>
      <c r="G7" s="59">
        <f aca="true" t="shared" si="0" ref="G7:G26">+SUM(D7:F7)</f>
        <v>371</v>
      </c>
      <c r="H7" s="59">
        <f aca="true" t="shared" si="1" ref="H7:H26">+ROUND(IF(G7&gt;($G$31*1.2),(9*(G7-1.2*$G$31)+$G$31*0.5),IF(G7&gt;($G$31*1.1),(4*(G7-1.1*$G$31)+$G$31*0.1),IF(G7&gt;$G$31,G7-$G$31,0))),2)</f>
        <v>249</v>
      </c>
      <c r="I7" s="60">
        <f aca="true" t="shared" si="2" ref="I7:I26">+G7+H7</f>
        <v>620</v>
      </c>
      <c r="K7" s="57">
        <f>+COUNTIF(Adkisson!$J$5:$J$29,"&gt;0")</f>
        <v>16</v>
      </c>
      <c r="L7" s="59">
        <f>+Adkisson!J31</f>
        <v>181.6</v>
      </c>
      <c r="N7" s="57">
        <f>+COUNTIF(Adkisson!$K$5:$K$29,"&gt;0")</f>
        <v>14</v>
      </c>
      <c r="O7" s="59">
        <f>+Adkisson!K31</f>
        <v>146.75</v>
      </c>
      <c r="Q7" s="57">
        <f>+COUNTIF(Adkisson!$L$5:$L$29,"&gt;0")</f>
        <v>6</v>
      </c>
      <c r="R7" s="59">
        <f>+Adkisson!L31</f>
        <v>39.449999999999996</v>
      </c>
      <c r="T7" s="57">
        <f>+COUNTIF(Adkisson!$M$5:$M$29,"&gt;0")</f>
        <v>4</v>
      </c>
      <c r="U7" s="59">
        <f>+Adkisson!M31</f>
        <v>17.7</v>
      </c>
      <c r="W7" s="56">
        <v>2</v>
      </c>
      <c r="X7" s="56">
        <v>3</v>
      </c>
      <c r="Y7" s="57">
        <f>L32+U34</f>
        <v>1058</v>
      </c>
    </row>
    <row r="8" spans="1:25" s="53" customFormat="1" ht="15" customHeight="1">
      <c r="A8" s="58" t="s">
        <v>108</v>
      </c>
      <c r="C8" s="57">
        <f>+COUNTIF(Trouy!$I$5:$I$29,"&gt;0")</f>
        <v>25</v>
      </c>
      <c r="D8" s="59">
        <f>+Trouy!I31</f>
        <v>263.1</v>
      </c>
      <c r="E8" s="59">
        <f>+Trouy!I72</f>
        <v>96.7</v>
      </c>
      <c r="F8" s="59">
        <f>-0.8-1.3-0.75</f>
        <v>-2.85</v>
      </c>
      <c r="G8" s="59">
        <f t="shared" si="0"/>
        <v>356.95</v>
      </c>
      <c r="H8" s="59">
        <f t="shared" si="1"/>
        <v>137.8</v>
      </c>
      <c r="I8" s="60">
        <f t="shared" si="2"/>
        <v>494.75</v>
      </c>
      <c r="K8" s="57">
        <f>+COUNTIF(Trouy!$J$5:$J$29,"&gt;0")</f>
        <v>14</v>
      </c>
      <c r="L8" s="59">
        <f>+Trouy!J31</f>
        <v>134.7</v>
      </c>
      <c r="N8" s="57">
        <f>+COUNTIF(Trouy!$K$5:$K$29,"&gt;0")</f>
        <v>9</v>
      </c>
      <c r="O8" s="59">
        <f>+Trouy!K31</f>
        <v>76.44999999999999</v>
      </c>
      <c r="Q8" s="57">
        <f>+COUNTIF(Trouy!$L$5:$L$29,"&gt;0")</f>
        <v>4</v>
      </c>
      <c r="R8" s="59">
        <f>+Trouy!L31</f>
        <v>23.599999999999998</v>
      </c>
      <c r="T8" s="57">
        <f>+COUNTIF(Trouy!$M$5:$M$29,"&gt;0")</f>
        <v>2</v>
      </c>
      <c r="U8" s="59">
        <f>+Trouy!M31</f>
        <v>6.75</v>
      </c>
      <c r="W8" s="56">
        <v>4</v>
      </c>
      <c r="X8" s="56">
        <v>2</v>
      </c>
      <c r="Y8" s="57">
        <f>L34+U33</f>
        <v>880</v>
      </c>
    </row>
    <row r="9" spans="1:25" s="53" customFormat="1" ht="15" customHeight="1">
      <c r="A9" s="58" t="s">
        <v>188</v>
      </c>
      <c r="B9" s="58"/>
      <c r="C9" s="57">
        <f>+COUNTIF(Ritter!$I$5:$I$29,"&gt;0")</f>
        <v>25</v>
      </c>
      <c r="D9" s="59">
        <f>+Ritter!I31</f>
        <v>320.55000000000007</v>
      </c>
      <c r="E9" s="59">
        <f>+Ritter!I62</f>
        <v>30.700000000000003</v>
      </c>
      <c r="F9" s="59">
        <f>-0.8-0.85-3</f>
        <v>-4.65</v>
      </c>
      <c r="G9" s="59">
        <f t="shared" si="0"/>
        <v>346.6000000000001</v>
      </c>
      <c r="H9" s="59">
        <f t="shared" si="1"/>
        <v>96.4</v>
      </c>
      <c r="I9" s="60">
        <f t="shared" si="2"/>
        <v>443.0000000000001</v>
      </c>
      <c r="K9" s="57">
        <f>+COUNTIF(Ritter!$J$5:$J$29,"&gt;0")</f>
        <v>16</v>
      </c>
      <c r="L9" s="59">
        <f>+Ritter!J31</f>
        <v>207.10000000000002</v>
      </c>
      <c r="N9" s="57">
        <f>+COUNTIF(Ritter!$K$5:$K$29,"&gt;0")</f>
        <v>10</v>
      </c>
      <c r="O9" s="59">
        <f>+Ritter!K31</f>
        <v>67.45</v>
      </c>
      <c r="Q9" s="57">
        <f>+COUNTIF(Ritter!$L$5:$L$29,"&gt;0")</f>
        <v>8</v>
      </c>
      <c r="R9" s="59">
        <f>+Ritter!L31</f>
        <v>51</v>
      </c>
      <c r="T9" s="57">
        <f>+COUNTIF(Ritter!$M$5:$M$29,"&gt;0")</f>
        <v>5</v>
      </c>
      <c r="U9" s="59">
        <f>+Ritter!M31</f>
        <v>29.25</v>
      </c>
      <c r="W9" s="56">
        <v>3</v>
      </c>
      <c r="X9" s="56">
        <v>1</v>
      </c>
      <c r="Y9" s="57">
        <f>L33+U32</f>
        <v>1352</v>
      </c>
    </row>
    <row r="10" spans="1:25" s="53" customFormat="1" ht="15" customHeight="1">
      <c r="A10" s="58" t="s">
        <v>99</v>
      </c>
      <c r="C10" s="57">
        <f>+COUNTIF(Chaplin!$I$5:$I$29,"&gt;0")</f>
        <v>25</v>
      </c>
      <c r="D10" s="59">
        <f>+Chaplin!I31</f>
        <v>310.25</v>
      </c>
      <c r="E10" s="59">
        <f>+Chaplin!I60</f>
        <v>54.7</v>
      </c>
      <c r="F10" s="59">
        <f>-13.75-1.3-1-3.55-3.45</f>
        <v>-23.05</v>
      </c>
      <c r="G10" s="59">
        <f t="shared" si="0"/>
        <v>341.9</v>
      </c>
      <c r="H10" s="59">
        <f t="shared" si="1"/>
        <v>77.6</v>
      </c>
      <c r="I10" s="60">
        <f t="shared" si="2"/>
        <v>419.5</v>
      </c>
      <c r="K10" s="57">
        <f>+COUNTIF(Chaplin!$J$5:$J$29,"&gt;0")</f>
        <v>14</v>
      </c>
      <c r="L10" s="59">
        <f>+Chaplin!J31</f>
        <v>116.75</v>
      </c>
      <c r="N10" s="57">
        <f>+COUNTIF(Chaplin!$K$5:$K$29,"&gt;0")</f>
        <v>9</v>
      </c>
      <c r="O10" s="59">
        <f>+Chaplin!K31</f>
        <v>50.85</v>
      </c>
      <c r="Q10" s="57">
        <f>+COUNTIF(Chaplin!$L$5:$L$29,"&gt;0")</f>
        <v>6</v>
      </c>
      <c r="R10" s="59">
        <f>+Chaplin!L31</f>
        <v>29.5</v>
      </c>
      <c r="T10" s="57">
        <f>+COUNTIF(Chaplin!$M$5:$M$29,"&gt;0")</f>
        <v>4</v>
      </c>
      <c r="U10" s="59">
        <f>+Chaplin!M31</f>
        <v>22.25</v>
      </c>
      <c r="W10" s="56">
        <v>10</v>
      </c>
      <c r="X10" s="56"/>
      <c r="Y10" s="57">
        <f>R32</f>
        <v>153</v>
      </c>
    </row>
    <row r="11" spans="1:25" s="53" customFormat="1" ht="15" customHeight="1">
      <c r="A11" s="58" t="s">
        <v>15</v>
      </c>
      <c r="B11" s="58"/>
      <c r="C11" s="57">
        <f>+COUNTIF(Rittenhouse!$I$5:$I$29,"&gt;0")</f>
        <v>25</v>
      </c>
      <c r="D11" s="59">
        <f>+Rittenhouse!I31</f>
        <v>199.15000000000003</v>
      </c>
      <c r="E11" s="59">
        <f>+Rittenhouse!I58</f>
        <v>131.15</v>
      </c>
      <c r="F11" s="59">
        <v>0</v>
      </c>
      <c r="G11" s="59">
        <f t="shared" si="0"/>
        <v>330.30000000000007</v>
      </c>
      <c r="H11" s="59">
        <f t="shared" si="1"/>
        <v>31.2</v>
      </c>
      <c r="I11" s="60">
        <f t="shared" si="2"/>
        <v>361.50000000000006</v>
      </c>
      <c r="K11" s="57">
        <f>+COUNTIF(Rittenhouse!$J$5:$J$29,"&gt;0")</f>
        <v>17</v>
      </c>
      <c r="L11" s="59">
        <f>+Rittenhouse!J31</f>
        <v>175.80000000000004</v>
      </c>
      <c r="N11" s="57">
        <f>+COUNTIF(Rittenhouse!$K$5:$K$29,"&gt;0")</f>
        <v>14</v>
      </c>
      <c r="O11" s="59">
        <f>+Rittenhouse!K31</f>
        <v>141.85000000000002</v>
      </c>
      <c r="Q11" s="57">
        <f>+COUNTIF(Rittenhouse!$L$5:$L$29,"&gt;0")</f>
        <v>9</v>
      </c>
      <c r="R11" s="59">
        <f>+Rittenhouse!L31</f>
        <v>83.90000000000002</v>
      </c>
      <c r="T11" s="57">
        <f>+COUNTIF(Rittenhouse!$M$5:$M$29,"&gt;0")</f>
        <v>5</v>
      </c>
      <c r="U11" s="59">
        <f>+Rittenhouse!M31</f>
        <v>70.2</v>
      </c>
      <c r="W11" s="56">
        <v>12</v>
      </c>
      <c r="X11" s="56" t="s">
        <v>689</v>
      </c>
      <c r="Y11" s="57">
        <f>R34+U35</f>
        <v>181</v>
      </c>
    </row>
    <row r="12" spans="1:25" s="53" customFormat="1" ht="15" customHeight="1">
      <c r="A12" s="58" t="s">
        <v>18</v>
      </c>
      <c r="B12" s="58"/>
      <c r="C12" s="57">
        <f>+COUNTIF(Chockalingam!$I$5:$I$29,"&gt;0")</f>
        <v>25</v>
      </c>
      <c r="D12" s="59">
        <f>+Chockalingam!I31</f>
        <v>293</v>
      </c>
      <c r="E12" s="59">
        <f>+Chockalingam!I52</f>
        <v>34.75</v>
      </c>
      <c r="F12" s="59">
        <v>0</v>
      </c>
      <c r="G12" s="59">
        <f t="shared" si="0"/>
        <v>327.75</v>
      </c>
      <c r="H12" s="59">
        <f t="shared" si="1"/>
        <v>27.75</v>
      </c>
      <c r="I12" s="60">
        <f t="shared" si="2"/>
        <v>355.5</v>
      </c>
      <c r="K12" s="57">
        <f>+COUNTIF(Chockalingam!$J$5:$J$29,"&gt;0")</f>
        <v>15</v>
      </c>
      <c r="L12" s="59">
        <f>+Chockalingam!J31</f>
        <v>135.85000000000002</v>
      </c>
      <c r="N12" s="57">
        <f>+COUNTIF(Chockalingam!$K$5:$K$29,"&gt;0")</f>
        <v>7</v>
      </c>
      <c r="O12" s="59">
        <f>+Chockalingam!K31</f>
        <v>44.95</v>
      </c>
      <c r="Q12" s="57">
        <f>+COUNTIF(Chockalingam!$L$5:$L$29,"&gt;0")</f>
        <v>4</v>
      </c>
      <c r="R12" s="59">
        <f>+Chockalingam!L31</f>
        <v>19.25</v>
      </c>
      <c r="T12" s="57">
        <f>+COUNTIF(Chockalingam!$M$5:$M$29,"&gt;0")</f>
        <v>2</v>
      </c>
      <c r="U12" s="59">
        <f>+Chockalingam!M31</f>
        <v>11.25</v>
      </c>
      <c r="W12" s="56">
        <v>16</v>
      </c>
      <c r="X12" s="56"/>
      <c r="Y12" s="57"/>
    </row>
    <row r="13" spans="1:25" s="53" customFormat="1" ht="15" customHeight="1">
      <c r="A13" s="58" t="s">
        <v>10</v>
      </c>
      <c r="C13" s="57">
        <f>+COUNTIF(Fernald!$I$5:$I$29,"&gt;0")</f>
        <v>25</v>
      </c>
      <c r="D13" s="59">
        <f>+Fernald!I31</f>
        <v>297.9</v>
      </c>
      <c r="E13" s="59">
        <f>+Fernald!I60</f>
        <v>42.650000000000006</v>
      </c>
      <c r="F13" s="59">
        <f>-0.85-2.3-2.1-1.65-1.5-0.9-1.7-2.9</f>
        <v>-13.9</v>
      </c>
      <c r="G13" s="59">
        <f t="shared" si="0"/>
        <v>326.65</v>
      </c>
      <c r="H13" s="59">
        <f t="shared" si="1"/>
        <v>26.65</v>
      </c>
      <c r="I13" s="60">
        <f t="shared" si="2"/>
        <v>353.29999999999995</v>
      </c>
      <c r="K13" s="57">
        <f>+COUNTIF(Fernald!$J$5:$J$29,"&gt;0")</f>
        <v>12</v>
      </c>
      <c r="L13" s="59">
        <f>+Fernald!J31</f>
        <v>118.25</v>
      </c>
      <c r="N13" s="57">
        <f>+COUNTIF(Fernald!$K$5:$K$29,"&gt;0")</f>
        <v>9</v>
      </c>
      <c r="O13" s="59">
        <f>+Fernald!K31</f>
        <v>90.15</v>
      </c>
      <c r="Q13" s="57">
        <f>+COUNTIF(Fernald!$L$5:$L$29,"&gt;0")</f>
        <v>8</v>
      </c>
      <c r="R13" s="59">
        <f>+Fernald!L31</f>
        <v>82.60000000000001</v>
      </c>
      <c r="T13" s="57">
        <f>+COUNTIF(Fernald!$M$5:$M$29,"&gt;0")</f>
        <v>3</v>
      </c>
      <c r="U13" s="59">
        <f>+Fernald!M31</f>
        <v>37.9</v>
      </c>
      <c r="W13" s="56">
        <v>8</v>
      </c>
      <c r="X13" s="56"/>
      <c r="Y13" s="57">
        <f>O34</f>
        <v>255</v>
      </c>
    </row>
    <row r="14" spans="1:25" s="53" customFormat="1" ht="15" customHeight="1">
      <c r="A14" s="58" t="s">
        <v>508</v>
      </c>
      <c r="C14" s="57">
        <f>+COUNTIF('Karl Krenz'!$I$5:$I$29,"&gt;0")</f>
        <v>25</v>
      </c>
      <c r="D14" s="59">
        <f>+'Karl Krenz'!I31</f>
        <v>322.59999999999997</v>
      </c>
      <c r="E14" s="59">
        <f>+'Karl Krenz'!I52</f>
        <v>16.400000000000002</v>
      </c>
      <c r="F14" s="59">
        <f>-6.4-4.6-0.75-0.75</f>
        <v>-12.5</v>
      </c>
      <c r="G14" s="59">
        <f t="shared" si="0"/>
        <v>326.49999999999994</v>
      </c>
      <c r="H14" s="59">
        <f t="shared" si="1"/>
        <v>26.5</v>
      </c>
      <c r="I14" s="60">
        <f t="shared" si="2"/>
        <v>352.99999999999994</v>
      </c>
      <c r="K14" s="57">
        <f>+COUNTIF('Karl Krenz'!$J$5:$J$29,"&gt;0")</f>
        <v>14</v>
      </c>
      <c r="L14" s="59">
        <f>+'Karl Krenz'!J31</f>
        <v>109.49999999999999</v>
      </c>
      <c r="N14" s="57">
        <f>+COUNTIF('Karl Krenz'!$K$5:$K$29,"&gt;0")</f>
        <v>11</v>
      </c>
      <c r="O14" s="59">
        <f>+'Karl Krenz'!K31</f>
        <v>101.6</v>
      </c>
      <c r="Q14" s="57">
        <f>+COUNTIF('Karl Krenz'!$L$5:$L$29,"&gt;0")</f>
        <v>6</v>
      </c>
      <c r="R14" s="59">
        <f>+'Karl Krenz'!L31</f>
        <v>51.7</v>
      </c>
      <c r="T14" s="57">
        <f>+COUNTIF('Karl Krenz'!$M$5:$M$29,"&gt;0")</f>
        <v>1</v>
      </c>
      <c r="U14" s="59">
        <f>+'Karl Krenz'!M31</f>
        <v>3</v>
      </c>
      <c r="W14" s="56">
        <v>15</v>
      </c>
      <c r="X14" s="56"/>
      <c r="Y14" s="57"/>
    </row>
    <row r="15" spans="1:25" s="53" customFormat="1" ht="15" customHeight="1">
      <c r="A15" s="58" t="s">
        <v>13</v>
      </c>
      <c r="C15" s="57">
        <f>+COUNTIF(WoodfordB!$I$5:$I$29,"&gt;0")</f>
        <v>25</v>
      </c>
      <c r="D15" s="59">
        <f>+WoodfordB!I31</f>
        <v>288.05</v>
      </c>
      <c r="E15" s="59">
        <f>+WoodfordB!I56</f>
        <v>33.7</v>
      </c>
      <c r="F15" s="59">
        <v>0</v>
      </c>
      <c r="G15" s="59">
        <f t="shared" si="0"/>
        <v>321.75</v>
      </c>
      <c r="H15" s="59">
        <f t="shared" si="1"/>
        <v>21.75</v>
      </c>
      <c r="I15" s="60">
        <f t="shared" si="2"/>
        <v>343.5</v>
      </c>
      <c r="K15" s="57">
        <f>+COUNTIF(WoodfordB!$J$5:$J$29,"&gt;0")</f>
        <v>15</v>
      </c>
      <c r="L15" s="59">
        <f>+WoodfordB!J31</f>
        <v>131.95000000000002</v>
      </c>
      <c r="N15" s="57">
        <f>+COUNTIF(WoodfordB!$K$5:$K$29,"&gt;0")</f>
        <v>13</v>
      </c>
      <c r="O15" s="59">
        <f>+WoodfordB!K31</f>
        <v>113.50000000000001</v>
      </c>
      <c r="Q15" s="57">
        <f>+COUNTIF(WoodfordB!$L$5:$L$29,"&gt;0")</f>
        <v>9</v>
      </c>
      <c r="R15" s="59">
        <f>+WoodfordB!L31</f>
        <v>83.55000000000001</v>
      </c>
      <c r="T15" s="57">
        <f>+COUNTIF(WoodfordB!$M$5:$M$29,"&gt;0")</f>
        <v>5</v>
      </c>
      <c r="U15" s="59">
        <f>+WoodfordB!M31</f>
        <v>17.5</v>
      </c>
      <c r="W15" s="56">
        <v>14</v>
      </c>
      <c r="X15" s="56"/>
      <c r="Y15" s="57"/>
    </row>
    <row r="16" spans="1:25" s="53" customFormat="1" ht="15" customHeight="1">
      <c r="A16" s="58" t="s">
        <v>279</v>
      </c>
      <c r="C16" s="57">
        <f>+COUNTIF(Thomas!$I$5:$I$29,"&gt;0")</f>
        <v>24</v>
      </c>
      <c r="D16" s="59">
        <f>+Thomas!I31</f>
        <v>237.2</v>
      </c>
      <c r="E16" s="59">
        <f>+Thomas!I53</f>
        <v>80.69999999999999</v>
      </c>
      <c r="F16" s="59">
        <v>0</v>
      </c>
      <c r="G16" s="59">
        <f t="shared" si="0"/>
        <v>317.9</v>
      </c>
      <c r="H16" s="59">
        <f t="shared" si="1"/>
        <v>17.9</v>
      </c>
      <c r="I16" s="60">
        <f t="shared" si="2"/>
        <v>335.79999999999995</v>
      </c>
      <c r="K16" s="57">
        <f>+COUNTIF(Thomas!$J$5:$J$29,"&gt;0")</f>
        <v>15</v>
      </c>
      <c r="L16" s="59">
        <f>+Thomas!J31</f>
        <v>177.2</v>
      </c>
      <c r="N16" s="57">
        <f>+COUNTIF(Thomas!$K$5:$K$29,"&gt;0")</f>
        <v>14</v>
      </c>
      <c r="O16" s="59">
        <f>+Thomas!K31</f>
        <v>145.2</v>
      </c>
      <c r="Q16" s="57">
        <f>+COUNTIF(Thomas!$L$5:$L$29,"&gt;0")</f>
        <v>6</v>
      </c>
      <c r="R16" s="59">
        <f>+Thomas!L31</f>
        <v>56.8</v>
      </c>
      <c r="T16" s="57">
        <f>+COUNTIF(Thomas!$M$5:$M$29,"&gt;0")</f>
        <v>3</v>
      </c>
      <c r="U16" s="59">
        <f>+Thomas!M31</f>
        <v>30.5</v>
      </c>
      <c r="W16" s="56">
        <v>13</v>
      </c>
      <c r="X16" s="56"/>
      <c r="Y16" s="57"/>
    </row>
    <row r="17" spans="1:25" s="53" customFormat="1" ht="15" customHeight="1">
      <c r="A17" s="58" t="s">
        <v>11</v>
      </c>
      <c r="C17" s="57">
        <f>+COUNTIF(WoodfordW!$I$5:$I$29,"&gt;0")</f>
        <v>25</v>
      </c>
      <c r="D17" s="59">
        <f>+WoodfordW!I31</f>
        <v>285.8000000000001</v>
      </c>
      <c r="E17" s="59">
        <f>+WoodfordW!I59</f>
        <v>35.25000000000001</v>
      </c>
      <c r="F17" s="59">
        <f>-0.85-1.2-0.75-1.5</f>
        <v>-4.3</v>
      </c>
      <c r="G17" s="59">
        <f t="shared" si="0"/>
        <v>316.7500000000001</v>
      </c>
      <c r="H17" s="59">
        <f t="shared" si="1"/>
        <v>16.75</v>
      </c>
      <c r="I17" s="60">
        <f t="shared" si="2"/>
        <v>333.5000000000001</v>
      </c>
      <c r="K17" s="57">
        <f>+COUNTIF(WoodfordW!$J$5:$J$29,"&gt;0")</f>
        <v>12</v>
      </c>
      <c r="L17" s="59">
        <f>+WoodfordW!J31</f>
        <v>87.4</v>
      </c>
      <c r="N17" s="57">
        <f>+COUNTIF(WoodfordW!$K$5:$K$29,"&gt;0")</f>
        <v>10</v>
      </c>
      <c r="O17" s="59">
        <f>+WoodfordW!K31</f>
        <v>81.45</v>
      </c>
      <c r="Q17" s="57">
        <f>+COUNTIF(WoodfordW!$L$5:$L$29,"&gt;0")</f>
        <v>7</v>
      </c>
      <c r="R17" s="59">
        <f>+WoodfordW!L31</f>
        <v>34.65</v>
      </c>
      <c r="T17" s="57">
        <f>+COUNTIF(WoodfordW!$M$5:$M$29,"&gt;0")</f>
        <v>5</v>
      </c>
      <c r="U17" s="59">
        <f>+WoodfordW!M31</f>
        <v>28.85</v>
      </c>
      <c r="W17" s="56">
        <v>1</v>
      </c>
      <c r="X17" s="56"/>
      <c r="Y17" s="57">
        <f>L31</f>
        <v>1071</v>
      </c>
    </row>
    <row r="18" spans="1:25" s="53" customFormat="1" ht="15" customHeight="1">
      <c r="A18" s="58" t="s">
        <v>102</v>
      </c>
      <c r="C18" s="57">
        <f>+COUNTIF(Jagot!$I$5:$I$29,"&gt;0")</f>
        <v>25</v>
      </c>
      <c r="D18" s="59">
        <f>+Jagot!I31</f>
        <v>300.15000000000003</v>
      </c>
      <c r="E18" s="59">
        <f>+Jagot!I60</f>
        <v>33.3</v>
      </c>
      <c r="F18" s="59">
        <f>-16.45-3-0.85</f>
        <v>-20.3</v>
      </c>
      <c r="G18" s="59">
        <f t="shared" si="0"/>
        <v>313.15000000000003</v>
      </c>
      <c r="H18" s="59">
        <f t="shared" si="1"/>
        <v>13.15</v>
      </c>
      <c r="I18" s="60">
        <f t="shared" si="2"/>
        <v>326.3</v>
      </c>
      <c r="K18" s="57">
        <f>+COUNTIF(Jagot!$J$5:$J$29,"&gt;0")</f>
        <v>14</v>
      </c>
      <c r="L18" s="59">
        <f>+Jagot!J31</f>
        <v>155.5</v>
      </c>
      <c r="N18" s="57">
        <f>+COUNTIF(Jagot!$K$5:$K$29,"&gt;0")</f>
        <v>13</v>
      </c>
      <c r="O18" s="59">
        <f>+Jagot!K31</f>
        <v>144.05</v>
      </c>
      <c r="Q18" s="57">
        <f>+COUNTIF(Jagot!$L$5:$L$29,"&gt;0")</f>
        <v>10</v>
      </c>
      <c r="R18" s="59">
        <f>+Jagot!L31</f>
        <v>131.65</v>
      </c>
      <c r="T18" s="57">
        <f>+COUNTIF(Jagot!$M$5:$M$29,"&gt;0")</f>
        <v>8</v>
      </c>
      <c r="U18" s="59">
        <f>+Jagot!M31</f>
        <v>122.75</v>
      </c>
      <c r="W18" s="56">
        <v>18</v>
      </c>
      <c r="X18" s="56"/>
      <c r="Y18" s="57"/>
    </row>
    <row r="19" spans="1:25" s="53" customFormat="1" ht="15" customHeight="1">
      <c r="A19" s="58" t="s">
        <v>14</v>
      </c>
      <c r="C19" s="57">
        <f>+COUNTIF(Barton!$I$5:$I$29,"&gt;0")</f>
        <v>25</v>
      </c>
      <c r="D19" s="59">
        <f>+Barton!I31</f>
        <v>290.70000000000005</v>
      </c>
      <c r="E19" s="59">
        <f>+Barton!I52</f>
        <v>53.699999999999996</v>
      </c>
      <c r="F19" s="59">
        <f>-18.05-4.45-2.9-1.6-0.75-2.55-2.75</f>
        <v>-33.05</v>
      </c>
      <c r="G19" s="59">
        <f t="shared" si="0"/>
        <v>311.35</v>
      </c>
      <c r="H19" s="59">
        <f t="shared" si="1"/>
        <v>11.35</v>
      </c>
      <c r="I19" s="60">
        <f t="shared" si="2"/>
        <v>322.70000000000005</v>
      </c>
      <c r="K19" s="57">
        <f>+COUNTIF(Barton!$J$5:$J$29,"&gt;0")</f>
        <v>14</v>
      </c>
      <c r="L19" s="59">
        <f>+Barton!J31</f>
        <v>161</v>
      </c>
      <c r="N19" s="57">
        <f>+COUNTIF(Barton!$K$5:$K$29,"&gt;0")</f>
        <v>10</v>
      </c>
      <c r="O19" s="59">
        <f>+Barton!K31</f>
        <v>55.75</v>
      </c>
      <c r="Q19" s="57">
        <f>+COUNTIF(Barton!$L$5:$L$29,"&gt;0")</f>
        <v>7</v>
      </c>
      <c r="R19" s="59">
        <f>+Barton!L31</f>
        <v>32.3</v>
      </c>
      <c r="T19" s="57">
        <f>+COUNTIF(Barton!$M$5:$M$29,"&gt;0")</f>
        <v>4</v>
      </c>
      <c r="U19" s="59">
        <f>+Barton!M31</f>
        <v>12</v>
      </c>
      <c r="W19" s="56">
        <v>6</v>
      </c>
      <c r="X19" s="56"/>
      <c r="Y19" s="57">
        <f>O32</f>
        <v>357</v>
      </c>
    </row>
    <row r="20" spans="1:25" s="53" customFormat="1" ht="15" customHeight="1">
      <c r="A20" s="58" t="s">
        <v>384</v>
      </c>
      <c r="C20" s="57">
        <f>+COUNTIF(Shepherd!$I$5:$I$29,"&gt;0")</f>
        <v>22</v>
      </c>
      <c r="D20" s="59">
        <f>+Shepherd!I31</f>
        <v>305.70000000000005</v>
      </c>
      <c r="E20" s="59">
        <f>+Shepherd!I53</f>
        <v>6.800000000000001</v>
      </c>
      <c r="F20" s="59">
        <v>-4.5</v>
      </c>
      <c r="G20" s="59">
        <f t="shared" si="0"/>
        <v>308.00000000000006</v>
      </c>
      <c r="H20" s="59">
        <f t="shared" si="1"/>
        <v>8</v>
      </c>
      <c r="I20" s="60">
        <f t="shared" si="2"/>
        <v>316.00000000000006</v>
      </c>
      <c r="K20" s="57">
        <f>+COUNTIF(Shepherd!$J$5:$J$29,"&gt;0")</f>
        <v>20</v>
      </c>
      <c r="L20" s="59">
        <f>+Shepherd!J31</f>
        <v>301</v>
      </c>
      <c r="N20" s="57">
        <f>+COUNTIF(Shepherd!$K$5:$K$29,"&gt;0")</f>
        <v>13</v>
      </c>
      <c r="O20" s="59">
        <f>+Shepherd!K31</f>
        <v>232.5</v>
      </c>
      <c r="Q20" s="57">
        <f>+COUNTIF(Shepherd!$L$5:$L$29,"&gt;0")</f>
        <v>6</v>
      </c>
      <c r="R20" s="59">
        <f>+Shepherd!L31</f>
        <v>69.15</v>
      </c>
      <c r="T20" s="57">
        <f>+COUNTIF(Shepherd!$M$5:$M$29,"&gt;0")</f>
        <v>5</v>
      </c>
      <c r="U20" s="59">
        <f>+Shepherd!M31</f>
        <v>51.900000000000006</v>
      </c>
      <c r="W20" s="56">
        <v>11</v>
      </c>
      <c r="X20" s="56"/>
      <c r="Y20" s="57">
        <f>R33</f>
        <v>102</v>
      </c>
    </row>
    <row r="21" spans="1:25" s="53" customFormat="1" ht="15" customHeight="1">
      <c r="A21" s="58" t="s">
        <v>19</v>
      </c>
      <c r="C21" s="57">
        <f>+COUNTIF(Meinen!$I$5:$I$29,"&gt;0")</f>
        <v>25</v>
      </c>
      <c r="D21" s="59">
        <f>+Meinen!I31</f>
        <v>285</v>
      </c>
      <c r="E21" s="59">
        <f>+Meinen!I56</f>
        <v>26.950000000000003</v>
      </c>
      <c r="F21" s="59">
        <f>-6.35-4.7-0.85-0.75-0.8</f>
        <v>-13.450000000000001</v>
      </c>
      <c r="G21" s="59">
        <f t="shared" si="0"/>
        <v>298.5</v>
      </c>
      <c r="H21" s="59">
        <f t="shared" si="1"/>
        <v>0</v>
      </c>
      <c r="I21" s="60">
        <f t="shared" si="2"/>
        <v>298.5</v>
      </c>
      <c r="K21" s="57">
        <f>+COUNTIF(Meinen!$J$5:$J$29,"&gt;0")</f>
        <v>10</v>
      </c>
      <c r="L21" s="59">
        <f>+Meinen!J31</f>
        <v>160.75000000000003</v>
      </c>
      <c r="N21" s="57">
        <f>+COUNTIF(Meinen!$K$5:$K$29,"&gt;0")</f>
        <v>5</v>
      </c>
      <c r="O21" s="59">
        <f>+Meinen!K31</f>
        <v>32.7</v>
      </c>
      <c r="Q21" s="57">
        <f>+COUNTIF(Meinen!$L$5:$L$29,"&gt;0")</f>
        <v>4</v>
      </c>
      <c r="R21" s="59">
        <f>+Meinen!L31</f>
        <v>24.45</v>
      </c>
      <c r="T21" s="57">
        <f>+COUNTIF(Meinen!$M$5:$M$29,"&gt;0")</f>
        <v>2</v>
      </c>
      <c r="U21" s="59">
        <f>+Meinen!M31</f>
        <v>15</v>
      </c>
      <c r="W21" s="56">
        <v>5</v>
      </c>
      <c r="X21" s="56"/>
      <c r="Y21" s="57">
        <f>O31</f>
        <v>459</v>
      </c>
    </row>
    <row r="22" spans="1:25" s="53" customFormat="1" ht="15" customHeight="1">
      <c r="A22" s="58" t="s">
        <v>278</v>
      </c>
      <c r="C22" s="57">
        <f>+COUNTIF(Goter!$I$5:$I$29,"&gt;0")</f>
        <v>25</v>
      </c>
      <c r="D22" s="59">
        <f>+Goter!I31</f>
        <v>272.30000000000007</v>
      </c>
      <c r="E22" s="59">
        <f>+Goter!I68</f>
        <v>18.35</v>
      </c>
      <c r="F22" s="59">
        <v>0</v>
      </c>
      <c r="G22" s="59">
        <f t="shared" si="0"/>
        <v>290.6500000000001</v>
      </c>
      <c r="H22" s="59">
        <f t="shared" si="1"/>
        <v>0</v>
      </c>
      <c r="I22" s="60">
        <f t="shared" si="2"/>
        <v>290.6500000000001</v>
      </c>
      <c r="K22" s="57">
        <f>+COUNTIF(Goter!$J$5:$J$29,"&gt;0")</f>
        <v>19</v>
      </c>
      <c r="L22" s="59">
        <f>+Goter!J31</f>
        <v>252.45000000000002</v>
      </c>
      <c r="N22" s="57">
        <f>+COUNTIF(Goter!$K$5:$K$29,"&gt;0")</f>
        <v>14</v>
      </c>
      <c r="O22" s="59">
        <f>+Goter!K31</f>
        <v>189.65</v>
      </c>
      <c r="Q22" s="57">
        <f>+COUNTIF(Goter!$L$5:$L$29,"&gt;0")</f>
        <v>5</v>
      </c>
      <c r="R22" s="59">
        <f>+Goter!L31</f>
        <v>20.499999999999996</v>
      </c>
      <c r="T22" s="57">
        <f>+COUNTIF(Goter!$M$5:$M$29,"&gt;0")</f>
        <v>2</v>
      </c>
      <c r="U22" s="59">
        <f>+Goter!M31</f>
        <v>6</v>
      </c>
      <c r="W22" s="56">
        <v>7</v>
      </c>
      <c r="X22" s="56"/>
      <c r="Y22" s="57">
        <f>O33</f>
        <v>306</v>
      </c>
    </row>
    <row r="23" spans="1:25" s="53" customFormat="1" ht="15" customHeight="1">
      <c r="A23" s="58" t="s">
        <v>12</v>
      </c>
      <c r="C23" s="57">
        <f>+COUNTIF('Kurt Krenz'!$I$5:$I$29,"&gt;0")</f>
        <v>25</v>
      </c>
      <c r="D23" s="59">
        <f>+'Kurt Krenz'!I31</f>
        <v>235.35000000000005</v>
      </c>
      <c r="E23" s="59">
        <f>+'Kurt Krenz'!I56</f>
        <v>43.7</v>
      </c>
      <c r="F23" s="59">
        <f>-3.9-4.6-3</f>
        <v>-11.5</v>
      </c>
      <c r="G23" s="59">
        <f t="shared" si="0"/>
        <v>267.55000000000007</v>
      </c>
      <c r="H23" s="59">
        <f t="shared" si="1"/>
        <v>0</v>
      </c>
      <c r="I23" s="60">
        <f t="shared" si="2"/>
        <v>267.55000000000007</v>
      </c>
      <c r="K23" s="57">
        <f>+COUNTIF('Kurt Krenz'!$J$5:$J$29,"&gt;0")</f>
        <v>17</v>
      </c>
      <c r="L23" s="59">
        <f>+'Kurt Krenz'!J31</f>
        <v>202.85000000000002</v>
      </c>
      <c r="N23" s="57">
        <f>+COUNTIF('Kurt Krenz'!$K$5:$K$29,"&gt;0")</f>
        <v>14</v>
      </c>
      <c r="O23" s="59">
        <f>+'Kurt Krenz'!K31</f>
        <v>134.45000000000002</v>
      </c>
      <c r="Q23" s="57">
        <f>+COUNTIF('Kurt Krenz'!$L$5:$L$29,"&gt;0")</f>
        <v>12</v>
      </c>
      <c r="R23" s="59">
        <f>+'Kurt Krenz'!L31</f>
        <v>127.65</v>
      </c>
      <c r="T23" s="57">
        <f>+COUNTIF('Kurt Krenz'!$M$5:$M$29,"&gt;0")</f>
        <v>8</v>
      </c>
      <c r="U23" s="59">
        <f>+'Kurt Krenz'!M31</f>
        <v>83</v>
      </c>
      <c r="W23" s="56">
        <v>9</v>
      </c>
      <c r="X23" s="56"/>
      <c r="Y23" s="57">
        <f>R31</f>
        <v>204</v>
      </c>
    </row>
    <row r="24" spans="1:25" s="53" customFormat="1" ht="15" customHeight="1">
      <c r="A24" s="58" t="s">
        <v>92</v>
      </c>
      <c r="C24" s="57">
        <f>+COUNTIF(Biegler!$I$5:$I$29,"&gt;0")</f>
        <v>25</v>
      </c>
      <c r="D24" s="59">
        <f>+Biegler!I31</f>
        <v>237.75</v>
      </c>
      <c r="E24" s="59">
        <f>+Biegler!I58</f>
        <v>7.9</v>
      </c>
      <c r="F24" s="59">
        <v>0</v>
      </c>
      <c r="G24" s="59">
        <f t="shared" si="0"/>
        <v>245.65</v>
      </c>
      <c r="H24" s="59">
        <f t="shared" si="1"/>
        <v>0</v>
      </c>
      <c r="I24" s="60">
        <f t="shared" si="2"/>
        <v>245.65</v>
      </c>
      <c r="K24" s="57">
        <f>+COUNTIF(Biegler!$J$5:$J$29,"&gt;0")</f>
        <v>15</v>
      </c>
      <c r="L24" s="59">
        <f>+Biegler!J31</f>
        <v>173.4</v>
      </c>
      <c r="N24" s="57">
        <f>+COUNTIF(Biegler!$K$5:$K$29,"&gt;0")</f>
        <v>9</v>
      </c>
      <c r="O24" s="59">
        <f>+Biegler!K31</f>
        <v>75.7</v>
      </c>
      <c r="Q24" s="57">
        <f>+COUNTIF(Biegler!$L$5:$L$29,"&gt;0")</f>
        <v>7</v>
      </c>
      <c r="R24" s="59">
        <f>+Biegler!L31</f>
        <v>52.4</v>
      </c>
      <c r="T24" s="57">
        <f>+COUNTIF(Biegler!$M$5:$M$29,"&gt;0")</f>
        <v>4</v>
      </c>
      <c r="U24" s="59">
        <f>+Biegler!M31</f>
        <v>19.5</v>
      </c>
      <c r="W24" s="56">
        <v>19</v>
      </c>
      <c r="X24" s="56"/>
      <c r="Y24" s="57"/>
    </row>
    <row r="25" spans="1:25" s="53" customFormat="1" ht="15" customHeight="1">
      <c r="A25" s="58" t="s">
        <v>91</v>
      </c>
      <c r="C25" s="57">
        <f>+COUNTIF(Kumar!$I$5:$I$29,"&gt;0")</f>
        <v>23</v>
      </c>
      <c r="D25" s="59">
        <f>+Kumar!I31</f>
        <v>220.4</v>
      </c>
      <c r="E25" s="59">
        <f>+Kumar!I56</f>
        <v>20.500000000000004</v>
      </c>
      <c r="F25" s="59">
        <v>0</v>
      </c>
      <c r="G25" s="59">
        <f t="shared" si="0"/>
        <v>240.9</v>
      </c>
      <c r="H25" s="59">
        <f t="shared" si="1"/>
        <v>0</v>
      </c>
      <c r="I25" s="60">
        <f t="shared" si="2"/>
        <v>240.9</v>
      </c>
      <c r="J25" s="61"/>
      <c r="K25" s="57">
        <f>+COUNTIF(Kumar!$J$5:$J$29,"&gt;0")</f>
        <v>19</v>
      </c>
      <c r="L25" s="59">
        <f>+Kumar!J31</f>
        <v>125.85</v>
      </c>
      <c r="N25" s="57">
        <f>+COUNTIF(Kumar!$K$5:$K$29,"&gt;0")</f>
        <v>8</v>
      </c>
      <c r="O25" s="59">
        <f>+Kumar!K31</f>
        <v>38.099999999999994</v>
      </c>
      <c r="Q25" s="57">
        <f>+COUNTIF(Kumar!$L$5:$L$29,"&gt;0")</f>
        <v>5</v>
      </c>
      <c r="R25" s="59">
        <f>+Kumar!L31</f>
        <v>27.149999999999995</v>
      </c>
      <c r="T25" s="57">
        <f>+COUNTIF(Kumar!$M$5:$M$29,"&gt;0")</f>
        <v>1</v>
      </c>
      <c r="U25" s="59">
        <f>+Kumar!M31</f>
        <v>9.95</v>
      </c>
      <c r="W25" s="56">
        <v>20</v>
      </c>
      <c r="X25" s="56"/>
      <c r="Y25" s="57"/>
    </row>
    <row r="26" spans="1:25" s="53" customFormat="1" ht="15" customHeight="1">
      <c r="A26" s="58" t="s">
        <v>280</v>
      </c>
      <c r="C26" s="57">
        <f>+COUNTIF(Becher!$I$5:$I$29,"&gt;0")</f>
        <v>25</v>
      </c>
      <c r="D26" s="59">
        <f>+Becher!I31</f>
        <v>222.20000000000002</v>
      </c>
      <c r="E26" s="59">
        <f>+Becher!I48</f>
        <v>1.7000000000000002</v>
      </c>
      <c r="F26" s="59">
        <v>0</v>
      </c>
      <c r="G26" s="59">
        <f t="shared" si="0"/>
        <v>223.9</v>
      </c>
      <c r="H26" s="59">
        <f t="shared" si="1"/>
        <v>0</v>
      </c>
      <c r="I26" s="60">
        <f t="shared" si="2"/>
        <v>223.9</v>
      </c>
      <c r="K26" s="57">
        <f>+COUNTIF(Becher!$J$5:$J$29,"&gt;0")</f>
        <v>17</v>
      </c>
      <c r="L26" s="59">
        <f>+Becher!J31</f>
        <v>153.45000000000002</v>
      </c>
      <c r="N26" s="57">
        <f>+COUNTIF(Becher!$K$5:$K$29,"&gt;0")</f>
        <v>15</v>
      </c>
      <c r="O26" s="59">
        <f>+Becher!K31</f>
        <v>143.9</v>
      </c>
      <c r="Q26" s="57">
        <f>+COUNTIF(Becher!$L$5:$L$29,"&gt;0")</f>
        <v>10</v>
      </c>
      <c r="R26" s="59">
        <f>+Becher!L31</f>
        <v>73.05000000000001</v>
      </c>
      <c r="T26" s="57">
        <f>+COUNTIF(Becher!$M$5:$M$29,"&gt;0")</f>
        <v>5</v>
      </c>
      <c r="U26" s="59">
        <f>+Becher!M31</f>
        <v>42</v>
      </c>
      <c r="W26" s="56">
        <v>17</v>
      </c>
      <c r="X26" s="56"/>
      <c r="Y26" s="57"/>
    </row>
    <row r="27" spans="1:25" s="53" customFormat="1" ht="15" customHeight="1">
      <c r="A27" s="62"/>
      <c r="B27" s="63"/>
      <c r="C27" s="64"/>
      <c r="D27" s="65"/>
      <c r="E27" s="65"/>
      <c r="F27" s="65"/>
      <c r="G27" s="65"/>
      <c r="H27" s="65"/>
      <c r="I27" s="66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W27" s="56"/>
      <c r="X27" s="56"/>
      <c r="Y27" s="57"/>
    </row>
    <row r="28" ht="7.5" customHeight="1"/>
    <row r="29" spans="4:21" ht="12.75">
      <c r="D29" s="112" t="s">
        <v>20</v>
      </c>
      <c r="E29" s="112"/>
      <c r="F29" s="54" t="s">
        <v>21</v>
      </c>
      <c r="G29" s="67" t="s">
        <v>22</v>
      </c>
      <c r="H29" s="67" t="s">
        <v>2</v>
      </c>
      <c r="I29" s="67" t="s">
        <v>9</v>
      </c>
      <c r="K29" s="113" t="s">
        <v>23</v>
      </c>
      <c r="L29" s="113"/>
      <c r="M29" s="113"/>
      <c r="N29" s="113"/>
      <c r="O29" s="113"/>
      <c r="P29" s="113"/>
      <c r="Q29" s="113"/>
      <c r="R29" s="113"/>
      <c r="S29" s="67"/>
      <c r="T29" s="113" t="s">
        <v>24</v>
      </c>
      <c r="U29" s="113"/>
    </row>
    <row r="30" spans="6:7" ht="6" customHeight="1">
      <c r="F30" s="68"/>
      <c r="G30" s="69"/>
    </row>
    <row r="31" spans="1:21" ht="15.75">
      <c r="A31" s="109" t="s">
        <v>25</v>
      </c>
      <c r="B31" s="109"/>
      <c r="C31" s="109"/>
      <c r="D31" s="110">
        <f>+SUM(G7:G26)</f>
        <v>6183.7</v>
      </c>
      <c r="E31" s="110"/>
      <c r="F31" s="71">
        <v>2016</v>
      </c>
      <c r="G31" s="72">
        <v>300</v>
      </c>
      <c r="H31" s="42">
        <f>SUM(C7:C26)</f>
        <v>494</v>
      </c>
      <c r="I31" s="72">
        <f>+SUM(G7:G26)</f>
        <v>6183.7</v>
      </c>
      <c r="K31" s="71" t="s">
        <v>26</v>
      </c>
      <c r="L31" s="42">
        <f>+ROUND(($D$34-U31)*0.21,0)</f>
        <v>1071</v>
      </c>
      <c r="M31" s="72"/>
      <c r="N31" s="71" t="s">
        <v>27</v>
      </c>
      <c r="O31" s="42">
        <f>+ROUND(($D$34-U31)*0.09,0)</f>
        <v>459</v>
      </c>
      <c r="Q31" s="71" t="s">
        <v>274</v>
      </c>
      <c r="R31" s="42">
        <f>+ROUND(($D$34-U31)*0.04,0)</f>
        <v>204</v>
      </c>
      <c r="T31" s="71" t="s">
        <v>8</v>
      </c>
      <c r="U31" s="73">
        <f>ROUND(D34*0.2,0)</f>
        <v>1276</v>
      </c>
    </row>
    <row r="32" spans="1:21" ht="15.75">
      <c r="A32" s="109" t="s">
        <v>7</v>
      </c>
      <c r="B32" s="109"/>
      <c r="C32" s="109"/>
      <c r="D32" s="110">
        <f>+SUM(H7:H26)</f>
        <v>761.8000000000001</v>
      </c>
      <c r="E32" s="110"/>
      <c r="F32" s="71">
        <v>2017</v>
      </c>
      <c r="G32" s="72">
        <v>310</v>
      </c>
      <c r="H32" s="42">
        <f>SUM(K7:K26)</f>
        <v>305</v>
      </c>
      <c r="I32" s="72">
        <f>SUM(L7:L26)</f>
        <v>3262.35</v>
      </c>
      <c r="K32" s="71" t="s">
        <v>28</v>
      </c>
      <c r="L32" s="42">
        <f>+ROUND(($D$34-U31)*0.17,0)</f>
        <v>867</v>
      </c>
      <c r="M32" s="72"/>
      <c r="N32" s="71" t="s">
        <v>29</v>
      </c>
      <c r="O32" s="42">
        <f>+ROUND(($D$34-U31)*0.07,0)</f>
        <v>357</v>
      </c>
      <c r="Q32" s="71" t="s">
        <v>275</v>
      </c>
      <c r="R32" s="42">
        <f>+ROUND(($D$34-U31)*0.03,0)</f>
        <v>153</v>
      </c>
      <c r="T32" s="71" t="s">
        <v>26</v>
      </c>
      <c r="U32" s="73">
        <f>ROUND(0.5*U31,0)</f>
        <v>638</v>
      </c>
    </row>
    <row r="33" spans="1:21" ht="15.75">
      <c r="A33" s="109" t="s">
        <v>30</v>
      </c>
      <c r="B33" s="109"/>
      <c r="C33" s="109"/>
      <c r="D33" s="110">
        <f>+SUM(I7:I26)</f>
        <v>6945.499999999999</v>
      </c>
      <c r="E33" s="110"/>
      <c r="F33" s="71">
        <v>2018</v>
      </c>
      <c r="G33" s="72">
        <v>320</v>
      </c>
      <c r="H33" s="42">
        <f>SUM(N7:N26)</f>
        <v>221</v>
      </c>
      <c r="I33" s="72">
        <f>SUM(O7:O26)</f>
        <v>2107</v>
      </c>
      <c r="K33" s="71" t="s">
        <v>31</v>
      </c>
      <c r="L33" s="42">
        <f>+ROUND(($D$34-U31)*0.14,0)</f>
        <v>714</v>
      </c>
      <c r="M33" s="72"/>
      <c r="N33" s="71" t="s">
        <v>32</v>
      </c>
      <c r="O33" s="42">
        <f>+ROUND(($D$34-U31)*0.06,0)</f>
        <v>306</v>
      </c>
      <c r="Q33" s="71" t="s">
        <v>276</v>
      </c>
      <c r="R33" s="42">
        <f>+ROUND(($D$34-U31)*0.02,0)</f>
        <v>102</v>
      </c>
      <c r="T33" s="71" t="s">
        <v>28</v>
      </c>
      <c r="U33" s="73">
        <f>ROUND(0.25*U31,0)</f>
        <v>319</v>
      </c>
    </row>
    <row r="34" spans="1:21" ht="15.75">
      <c r="A34" s="109" t="s">
        <v>33</v>
      </c>
      <c r="B34" s="109"/>
      <c r="C34" s="109"/>
      <c r="D34" s="111">
        <f>FLOOR(SUMIF(G7:G26,"&lt;=300",G7:G26)+300*COUNTIF(G7:G26,"&gt;300"),1)+611</f>
        <v>6378</v>
      </c>
      <c r="E34" s="111"/>
      <c r="F34" s="71">
        <v>2019</v>
      </c>
      <c r="G34" s="72">
        <v>330</v>
      </c>
      <c r="H34" s="42">
        <f>SUM(Q7:Q26)</f>
        <v>139</v>
      </c>
      <c r="I34" s="72">
        <f>SUM(R7:R26)</f>
        <v>1114.3</v>
      </c>
      <c r="K34" s="71" t="s">
        <v>34</v>
      </c>
      <c r="L34" s="42">
        <f>+ROUND(($D$34-U31)*0.11,0)</f>
        <v>561</v>
      </c>
      <c r="M34" s="72"/>
      <c r="N34" s="71" t="s">
        <v>35</v>
      </c>
      <c r="O34" s="42">
        <f>+ROUND(($D$34-U31)*0.05,0)</f>
        <v>255</v>
      </c>
      <c r="Q34" s="71" t="s">
        <v>277</v>
      </c>
      <c r="R34" s="42">
        <f>+ROUND(($D$34-U31-SUM(L31:L34)-SUM(O31:O34)-SUM(R31:R33)),0)</f>
        <v>53</v>
      </c>
      <c r="T34" s="71" t="s">
        <v>31</v>
      </c>
      <c r="U34" s="73">
        <f>ROUND(0.15*U31,0)</f>
        <v>191</v>
      </c>
    </row>
    <row r="35" spans="3:21" ht="15.75">
      <c r="C35" s="70" t="s">
        <v>36</v>
      </c>
      <c r="D35" s="111">
        <f>+D33-D34+611.5-59</f>
        <v>1119.999999999999</v>
      </c>
      <c r="E35" s="111"/>
      <c r="F35" s="71">
        <v>2020</v>
      </c>
      <c r="G35" s="72">
        <v>340</v>
      </c>
      <c r="H35" s="42">
        <f>SUM(T7:T26)</f>
        <v>78</v>
      </c>
      <c r="I35" s="72">
        <f>SUM(U7:U26)</f>
        <v>637.2500000000001</v>
      </c>
      <c r="M35" s="72"/>
      <c r="N35" s="71"/>
      <c r="O35" s="74"/>
      <c r="T35" s="71" t="s">
        <v>37</v>
      </c>
      <c r="U35" s="73">
        <f>U31-U32-U33-U34</f>
        <v>128</v>
      </c>
    </row>
    <row r="36" spans="1:21" ht="7.5" customHeight="1">
      <c r="A36" s="75"/>
      <c r="B36" s="75"/>
      <c r="C36" s="76"/>
      <c r="D36" s="108"/>
      <c r="E36" s="108"/>
      <c r="F36" s="108"/>
      <c r="G36" s="75"/>
      <c r="H36" s="77"/>
      <c r="I36" s="78"/>
      <c r="J36" s="75"/>
      <c r="K36" s="79"/>
      <c r="L36" s="78"/>
      <c r="M36" s="78"/>
      <c r="N36" s="75"/>
      <c r="O36" s="75"/>
      <c r="P36" s="75"/>
      <c r="Q36" s="75"/>
      <c r="R36" s="75"/>
      <c r="S36" s="75"/>
      <c r="T36" s="75"/>
      <c r="U36" s="80"/>
    </row>
    <row r="37" spans="10:18" ht="12.75">
      <c r="J37" s="72"/>
      <c r="Q37" s="71"/>
      <c r="R37" s="74"/>
    </row>
    <row r="38" spans="1:18" ht="12.75">
      <c r="A38" s="81" t="s">
        <v>95</v>
      </c>
      <c r="J38" s="72"/>
      <c r="Q38" s="71"/>
      <c r="R38" s="74"/>
    </row>
    <row r="39" spans="1:24" ht="12.75">
      <c r="A39" s="40" t="s">
        <v>487</v>
      </c>
      <c r="X39" s="103"/>
    </row>
    <row r="40" spans="1:24" ht="12.75">
      <c r="A40" s="40" t="s">
        <v>488</v>
      </c>
      <c r="X40" s="103"/>
    </row>
    <row r="41" spans="1:24" ht="12.75">
      <c r="A41" s="40" t="s">
        <v>552</v>
      </c>
      <c r="X41" s="103"/>
    </row>
    <row r="42" spans="1:24" ht="12.75">
      <c r="A42" s="40" t="s">
        <v>577</v>
      </c>
      <c r="X42" s="103"/>
    </row>
    <row r="43" spans="1:24" ht="12.75">
      <c r="A43" s="40" t="s">
        <v>616</v>
      </c>
      <c r="X43" s="104"/>
    </row>
    <row r="44" ht="12.75">
      <c r="A44" s="40" t="s">
        <v>617</v>
      </c>
    </row>
    <row r="45" ht="12.75">
      <c r="A45" s="40" t="s">
        <v>806</v>
      </c>
    </row>
  </sheetData>
  <sheetProtection/>
  <mergeCells count="19">
    <mergeCell ref="P1:U1"/>
    <mergeCell ref="C3:I3"/>
    <mergeCell ref="K3:L3"/>
    <mergeCell ref="N3:O3"/>
    <mergeCell ref="Q3:R3"/>
    <mergeCell ref="T3:U3"/>
    <mergeCell ref="D29:E29"/>
    <mergeCell ref="T29:U29"/>
    <mergeCell ref="D35:E35"/>
    <mergeCell ref="A31:C31"/>
    <mergeCell ref="D31:E31"/>
    <mergeCell ref="K29:R29"/>
    <mergeCell ref="D36:F36"/>
    <mergeCell ref="A33:C33"/>
    <mergeCell ref="D33:E33"/>
    <mergeCell ref="A34:C34"/>
    <mergeCell ref="D34:E34"/>
    <mergeCell ref="A32:C32"/>
    <mergeCell ref="D32:E32"/>
  </mergeCells>
  <printOptions horizontalCentered="1"/>
  <pageMargins left="0.25" right="0.25" top="0.5" bottom="0.5" header="0.5" footer="0.5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13" ht="7.5" customHeight="1">
      <c r="B4" s="3"/>
      <c r="C4" s="5"/>
      <c r="E4" s="5"/>
      <c r="F4" s="5"/>
      <c r="I4" s="17"/>
      <c r="J4" s="17"/>
      <c r="K4" s="17"/>
      <c r="L4" s="17"/>
      <c r="M4" s="17"/>
    </row>
    <row r="5" spans="1:13" ht="12.75">
      <c r="A5" s="6">
        <v>1</v>
      </c>
      <c r="B5" s="33" t="s">
        <v>546</v>
      </c>
      <c r="C5" s="30" t="s">
        <v>40</v>
      </c>
      <c r="D5" s="30" t="s">
        <v>531</v>
      </c>
      <c r="E5" s="7" t="s">
        <v>515</v>
      </c>
      <c r="F5" s="8">
        <v>3</v>
      </c>
      <c r="G5" s="9">
        <v>2020</v>
      </c>
      <c r="I5" s="10">
        <f aca="true" t="shared" si="0" ref="I5:M14">+IF($G5&gt;=I$3,$F5,0)</f>
        <v>3</v>
      </c>
      <c r="J5" s="10">
        <f t="shared" si="0"/>
        <v>3</v>
      </c>
      <c r="K5" s="10">
        <f t="shared" si="0"/>
        <v>3</v>
      </c>
      <c r="L5" s="10">
        <f t="shared" si="0"/>
        <v>3</v>
      </c>
      <c r="M5" s="10">
        <f t="shared" si="0"/>
        <v>3</v>
      </c>
    </row>
    <row r="6" spans="1:13" ht="12.75">
      <c r="A6" s="6">
        <v>2</v>
      </c>
      <c r="B6" s="31" t="s">
        <v>547</v>
      </c>
      <c r="C6" s="2" t="s">
        <v>43</v>
      </c>
      <c r="D6" s="2" t="s">
        <v>73</v>
      </c>
      <c r="E6" s="7" t="s">
        <v>515</v>
      </c>
      <c r="F6" s="8">
        <v>3</v>
      </c>
      <c r="G6" s="9">
        <v>2020</v>
      </c>
      <c r="I6" s="10">
        <f t="shared" si="0"/>
        <v>3</v>
      </c>
      <c r="J6" s="10">
        <f t="shared" si="0"/>
        <v>3</v>
      </c>
      <c r="K6" s="10">
        <f t="shared" si="0"/>
        <v>3</v>
      </c>
      <c r="L6" s="10">
        <f t="shared" si="0"/>
        <v>3</v>
      </c>
      <c r="M6" s="10">
        <f t="shared" si="0"/>
        <v>3</v>
      </c>
    </row>
    <row r="7" spans="1:13" ht="12.75">
      <c r="A7" s="6">
        <v>3</v>
      </c>
      <c r="B7" s="31" t="s">
        <v>402</v>
      </c>
      <c r="C7" s="2" t="s">
        <v>40</v>
      </c>
      <c r="D7" s="2" t="s">
        <v>83</v>
      </c>
      <c r="E7" s="7" t="s">
        <v>386</v>
      </c>
      <c r="F7" s="8">
        <v>8.7</v>
      </c>
      <c r="G7" s="9">
        <v>2019</v>
      </c>
      <c r="I7" s="10">
        <f t="shared" si="0"/>
        <v>8.7</v>
      </c>
      <c r="J7" s="10">
        <f t="shared" si="0"/>
        <v>8.7</v>
      </c>
      <c r="K7" s="10">
        <f t="shared" si="0"/>
        <v>8.7</v>
      </c>
      <c r="L7" s="10">
        <f t="shared" si="0"/>
        <v>8.7</v>
      </c>
      <c r="M7" s="10">
        <f t="shared" si="0"/>
        <v>0</v>
      </c>
    </row>
    <row r="8" spans="1:13" ht="12.75">
      <c r="A8" s="6">
        <v>4</v>
      </c>
      <c r="B8" s="33" t="s">
        <v>406</v>
      </c>
      <c r="C8" s="30" t="s">
        <v>39</v>
      </c>
      <c r="D8" s="30" t="s">
        <v>83</v>
      </c>
      <c r="E8" s="7" t="s">
        <v>386</v>
      </c>
      <c r="F8" s="8">
        <v>2.9</v>
      </c>
      <c r="G8" s="9">
        <v>2019</v>
      </c>
      <c r="I8" s="10">
        <f t="shared" si="0"/>
        <v>2.9</v>
      </c>
      <c r="J8" s="10">
        <f t="shared" si="0"/>
        <v>2.9</v>
      </c>
      <c r="K8" s="10">
        <f t="shared" si="0"/>
        <v>2.9</v>
      </c>
      <c r="L8" s="10">
        <f t="shared" si="0"/>
        <v>2.9</v>
      </c>
      <c r="M8" s="10">
        <f t="shared" si="0"/>
        <v>0</v>
      </c>
    </row>
    <row r="9" spans="1:13" ht="12.75">
      <c r="A9" s="6">
        <v>5</v>
      </c>
      <c r="B9" s="31" t="s">
        <v>422</v>
      </c>
      <c r="C9" s="30" t="s">
        <v>43</v>
      </c>
      <c r="D9" s="30" t="s">
        <v>76</v>
      </c>
      <c r="E9" s="32" t="s">
        <v>386</v>
      </c>
      <c r="F9" s="8">
        <v>2.9</v>
      </c>
      <c r="G9" s="9">
        <v>2019</v>
      </c>
      <c r="I9" s="10">
        <f t="shared" si="0"/>
        <v>2.9</v>
      </c>
      <c r="J9" s="10">
        <f t="shared" si="0"/>
        <v>2.9</v>
      </c>
      <c r="K9" s="10">
        <f t="shared" si="0"/>
        <v>2.9</v>
      </c>
      <c r="L9" s="10">
        <f t="shared" si="0"/>
        <v>2.9</v>
      </c>
      <c r="M9" s="10">
        <f t="shared" si="0"/>
        <v>0</v>
      </c>
    </row>
    <row r="10" spans="1:13" ht="12.75">
      <c r="A10" s="6">
        <v>6</v>
      </c>
      <c r="B10" s="20" t="s">
        <v>591</v>
      </c>
      <c r="C10" s="2" t="s">
        <v>39</v>
      </c>
      <c r="D10" s="2" t="s">
        <v>55</v>
      </c>
      <c r="E10" s="7" t="s">
        <v>557</v>
      </c>
      <c r="F10" s="8">
        <v>64.25</v>
      </c>
      <c r="G10" s="9">
        <v>2018</v>
      </c>
      <c r="I10" s="10">
        <f t="shared" si="0"/>
        <v>64.25</v>
      </c>
      <c r="J10" s="10">
        <f t="shared" si="0"/>
        <v>64.25</v>
      </c>
      <c r="K10" s="10">
        <f t="shared" si="0"/>
        <v>64.25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1" t="s">
        <v>336</v>
      </c>
      <c r="C11" s="2" t="s">
        <v>38</v>
      </c>
      <c r="D11" s="2" t="s">
        <v>65</v>
      </c>
      <c r="E11" s="7" t="s">
        <v>372</v>
      </c>
      <c r="F11" s="12">
        <v>40.5</v>
      </c>
      <c r="G11" s="13">
        <v>2018</v>
      </c>
      <c r="I11" s="10">
        <f t="shared" si="0"/>
        <v>40.5</v>
      </c>
      <c r="J11" s="10">
        <f t="shared" si="0"/>
        <v>40.5</v>
      </c>
      <c r="K11" s="10">
        <f t="shared" si="0"/>
        <v>40.5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3" t="s">
        <v>583</v>
      </c>
      <c r="C12" s="30" t="s">
        <v>41</v>
      </c>
      <c r="D12" s="30" t="s">
        <v>66</v>
      </c>
      <c r="E12" s="7" t="s">
        <v>557</v>
      </c>
      <c r="F12" s="8">
        <v>24.5</v>
      </c>
      <c r="G12" s="9">
        <v>2018</v>
      </c>
      <c r="I12" s="10">
        <f t="shared" si="0"/>
        <v>24.5</v>
      </c>
      <c r="J12" s="10">
        <f t="shared" si="0"/>
        <v>24.5</v>
      </c>
      <c r="K12" s="10">
        <f t="shared" si="0"/>
        <v>24.5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560</v>
      </c>
      <c r="C13" s="2" t="s">
        <v>42</v>
      </c>
      <c r="D13" s="2" t="s">
        <v>70</v>
      </c>
      <c r="E13" s="7" t="s">
        <v>557</v>
      </c>
      <c r="F13" s="12">
        <v>14</v>
      </c>
      <c r="G13" s="13">
        <v>2018</v>
      </c>
      <c r="I13" s="10">
        <f t="shared" si="0"/>
        <v>14</v>
      </c>
      <c r="J13" s="10">
        <f t="shared" si="0"/>
        <v>14</v>
      </c>
      <c r="K13" s="10">
        <f t="shared" si="0"/>
        <v>14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383</v>
      </c>
      <c r="C14" s="2" t="s">
        <v>39</v>
      </c>
      <c r="D14" s="2" t="s">
        <v>88</v>
      </c>
      <c r="E14" s="7" t="s">
        <v>372</v>
      </c>
      <c r="F14" s="8">
        <v>10.65</v>
      </c>
      <c r="G14" s="9">
        <v>2018</v>
      </c>
      <c r="I14" s="10">
        <f t="shared" si="0"/>
        <v>10.65</v>
      </c>
      <c r="J14" s="10">
        <f t="shared" si="0"/>
        <v>10.65</v>
      </c>
      <c r="K14" s="10">
        <f t="shared" si="0"/>
        <v>10.65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327</v>
      </c>
      <c r="C15" s="2" t="s">
        <v>43</v>
      </c>
      <c r="D15" s="2" t="s">
        <v>82</v>
      </c>
      <c r="E15" s="7" t="s">
        <v>427</v>
      </c>
      <c r="F15" s="8">
        <v>7</v>
      </c>
      <c r="G15" s="9">
        <v>2018</v>
      </c>
      <c r="I15" s="10">
        <f aca="true" t="shared" si="1" ref="I15:M29">+IF($G15&gt;=I$3,$F15,0)</f>
        <v>7</v>
      </c>
      <c r="J15" s="10">
        <f t="shared" si="1"/>
        <v>7</v>
      </c>
      <c r="K15" s="10">
        <f t="shared" si="1"/>
        <v>7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301</v>
      </c>
      <c r="C16" s="30" t="s">
        <v>40</v>
      </c>
      <c r="D16" s="30" t="s">
        <v>66</v>
      </c>
      <c r="E16" s="7" t="s">
        <v>371</v>
      </c>
      <c r="F16" s="8">
        <v>2.75</v>
      </c>
      <c r="G16" s="9">
        <v>2018</v>
      </c>
      <c r="I16" s="10">
        <f t="shared" si="1"/>
        <v>2.75</v>
      </c>
      <c r="J16" s="10">
        <f t="shared" si="1"/>
        <v>2.75</v>
      </c>
      <c r="K16" s="10">
        <f t="shared" si="1"/>
        <v>2.75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315</v>
      </c>
      <c r="C17" s="30" t="s">
        <v>44</v>
      </c>
      <c r="D17" s="30" t="s">
        <v>88</v>
      </c>
      <c r="E17" s="7" t="s">
        <v>371</v>
      </c>
      <c r="F17" s="8">
        <v>2.75</v>
      </c>
      <c r="G17" s="9">
        <v>2018</v>
      </c>
      <c r="I17" s="10">
        <f t="shared" si="1"/>
        <v>2.75</v>
      </c>
      <c r="J17" s="10">
        <f t="shared" si="1"/>
        <v>2.75</v>
      </c>
      <c r="K17" s="10">
        <f t="shared" si="1"/>
        <v>2.75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322</v>
      </c>
      <c r="C18" s="2" t="s">
        <v>44</v>
      </c>
      <c r="D18" s="2" t="s">
        <v>71</v>
      </c>
      <c r="E18" s="7" t="s">
        <v>371</v>
      </c>
      <c r="F18" s="8">
        <v>2.75</v>
      </c>
      <c r="G18" s="9">
        <v>2018</v>
      </c>
      <c r="I18" s="10">
        <f t="shared" si="1"/>
        <v>2.75</v>
      </c>
      <c r="J18" s="10">
        <f t="shared" si="1"/>
        <v>2.75</v>
      </c>
      <c r="K18" s="10">
        <f t="shared" si="1"/>
        <v>2.75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597</v>
      </c>
      <c r="C19" s="2" t="s">
        <v>40</v>
      </c>
      <c r="D19" s="2" t="s">
        <v>84</v>
      </c>
      <c r="E19" s="7" t="s">
        <v>557</v>
      </c>
      <c r="F19" s="8">
        <v>40.2</v>
      </c>
      <c r="G19" s="9">
        <v>2017</v>
      </c>
      <c r="I19" s="10">
        <f t="shared" si="1"/>
        <v>40.2</v>
      </c>
      <c r="J19" s="10">
        <f t="shared" si="1"/>
        <v>40.2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471</v>
      </c>
      <c r="C20" s="2" t="s">
        <v>40</v>
      </c>
      <c r="D20" s="30" t="s">
        <v>81</v>
      </c>
      <c r="E20" s="7" t="s">
        <v>427</v>
      </c>
      <c r="F20" s="8">
        <v>9.55</v>
      </c>
      <c r="G20" s="9">
        <v>2017</v>
      </c>
      <c r="I20" s="10">
        <f t="shared" si="1"/>
        <v>9.55</v>
      </c>
      <c r="J20" s="10">
        <f t="shared" si="1"/>
        <v>9.55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469</v>
      </c>
      <c r="C21" s="2" t="s">
        <v>43</v>
      </c>
      <c r="D21" s="2" t="s">
        <v>69</v>
      </c>
      <c r="E21" s="7" t="s">
        <v>427</v>
      </c>
      <c r="F21" s="12">
        <v>5.2</v>
      </c>
      <c r="G21" s="13">
        <v>2017</v>
      </c>
      <c r="I21" s="10">
        <f t="shared" si="1"/>
        <v>5.2</v>
      </c>
      <c r="J21" s="10">
        <f t="shared" si="1"/>
        <v>5.2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242</v>
      </c>
      <c r="C22" s="2" t="s">
        <v>43</v>
      </c>
      <c r="D22" s="2" t="s">
        <v>77</v>
      </c>
      <c r="E22" s="7" t="s">
        <v>56</v>
      </c>
      <c r="F22" s="8">
        <v>4.5</v>
      </c>
      <c r="G22" s="9">
        <v>2017</v>
      </c>
      <c r="I22" s="10">
        <f t="shared" si="1"/>
        <v>4.5</v>
      </c>
      <c r="J22" s="10">
        <f t="shared" si="1"/>
        <v>4.5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247</v>
      </c>
      <c r="C23" s="2" t="s">
        <v>40</v>
      </c>
      <c r="D23" s="2" t="s">
        <v>85</v>
      </c>
      <c r="E23" s="7" t="s">
        <v>56</v>
      </c>
      <c r="F23" s="8">
        <v>3.35</v>
      </c>
      <c r="G23" s="9">
        <v>2017</v>
      </c>
      <c r="I23" s="10">
        <f>+IF($G23&gt;=I$3,$F23,0)</f>
        <v>3.35</v>
      </c>
      <c r="J23" s="10">
        <f>+IF($G23&gt;=J$3,$F23,0)</f>
        <v>3.35</v>
      </c>
      <c r="K23" s="10">
        <f>+IF($G23&gt;=K$3,$F23,0)</f>
        <v>0</v>
      </c>
      <c r="L23" s="10">
        <f>+IF($G23&gt;=L$3,$F23,0)</f>
        <v>0</v>
      </c>
      <c r="M23" s="10">
        <f>+IF($G23&gt;=M$3,$F23,0)</f>
        <v>0</v>
      </c>
    </row>
    <row r="24" spans="1:13" ht="12.75">
      <c r="A24" s="6">
        <v>20</v>
      </c>
      <c r="B24" s="20" t="s">
        <v>142</v>
      </c>
      <c r="C24" s="30" t="s">
        <v>44</v>
      </c>
      <c r="D24" s="30" t="s">
        <v>73</v>
      </c>
      <c r="E24" s="7" t="s">
        <v>56</v>
      </c>
      <c r="F24" s="8">
        <v>5.75</v>
      </c>
      <c r="G24" s="9">
        <v>2016</v>
      </c>
      <c r="I24" s="10">
        <f t="shared" si="1"/>
        <v>5.75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717</v>
      </c>
      <c r="C25" s="2" t="s">
        <v>44</v>
      </c>
      <c r="D25" s="2" t="s">
        <v>80</v>
      </c>
      <c r="E25" s="7" t="s">
        <v>691</v>
      </c>
      <c r="F25" s="12">
        <v>3</v>
      </c>
      <c r="G25" s="13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144</v>
      </c>
      <c r="C26" s="2" t="s">
        <v>39</v>
      </c>
      <c r="D26" s="2" t="s">
        <v>61</v>
      </c>
      <c r="E26" s="7" t="s">
        <v>691</v>
      </c>
      <c r="F26" s="12">
        <v>3</v>
      </c>
      <c r="G26" s="13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784</v>
      </c>
      <c r="C27" s="2" t="s">
        <v>41</v>
      </c>
      <c r="D27" s="2" t="s">
        <v>712</v>
      </c>
      <c r="E27" s="2" t="s">
        <v>691</v>
      </c>
      <c r="F27" s="12">
        <v>3</v>
      </c>
      <c r="G27" s="13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107</v>
      </c>
      <c r="C28" s="30" t="s">
        <v>39</v>
      </c>
      <c r="D28" s="30" t="s">
        <v>114</v>
      </c>
      <c r="E28" s="32" t="s">
        <v>372</v>
      </c>
      <c r="F28" s="12">
        <v>2.75</v>
      </c>
      <c r="G28" s="13">
        <v>2016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184</v>
      </c>
      <c r="C29" s="30" t="s">
        <v>43</v>
      </c>
      <c r="D29" s="30" t="s">
        <v>57</v>
      </c>
      <c r="E29" s="7" t="s">
        <v>56</v>
      </c>
      <c r="F29" s="8">
        <v>2.35</v>
      </c>
      <c r="G29" s="9">
        <v>2016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1"/>
      <c r="C31" s="30"/>
      <c r="D31" s="30"/>
      <c r="E31" s="32"/>
      <c r="F31" s="8"/>
      <c r="G31" s="9"/>
      <c r="I31" s="15">
        <f>+SUM(I5:I29)</f>
        <v>272.30000000000007</v>
      </c>
      <c r="J31" s="15">
        <f>+SUM(J5:J29)</f>
        <v>252.45000000000002</v>
      </c>
      <c r="K31" s="15">
        <f>+SUM(K5:K29)</f>
        <v>189.65</v>
      </c>
      <c r="L31" s="15">
        <f>+SUM(L5:L29)</f>
        <v>20.499999999999996</v>
      </c>
      <c r="M31" s="15">
        <f>+SUM(M5:M29)</f>
        <v>6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249</v>
      </c>
      <c r="C37" s="2" t="s">
        <v>40</v>
      </c>
      <c r="D37" s="2" t="s">
        <v>66</v>
      </c>
      <c r="E37" s="7">
        <v>2015</v>
      </c>
      <c r="F37" s="8">
        <v>12.75</v>
      </c>
      <c r="G37" s="9">
        <v>2017</v>
      </c>
      <c r="I37" s="10">
        <f aca="true" t="shared" si="2" ref="I37:I52">+CEILING(IF($I$35=E37,F37,IF($I$35&lt;=G37,F37*0.3,0)),0.05)</f>
        <v>3.85</v>
      </c>
      <c r="J37" s="10">
        <f aca="true" t="shared" si="3" ref="J37:J52">+CEILING(IF($J$35&lt;=G37,F37*0.3,0),0.05)</f>
        <v>3.85</v>
      </c>
      <c r="K37" s="10">
        <f aca="true" t="shared" si="4" ref="K37:K52">+CEILING(IF($K$35&lt;=G37,F37*0.3,0),0.05)</f>
        <v>0</v>
      </c>
      <c r="L37" s="10">
        <f aca="true" t="shared" si="5" ref="L37:L52">+CEILING(IF($L$35&lt;=G37,F37*0.3,0),0.05)</f>
        <v>0</v>
      </c>
      <c r="M37" s="10">
        <f aca="true" t="shared" si="6" ref="M37:M52">CEILING(IF($M$35&lt;=G37,F37*0.3,0),0.05)</f>
        <v>0</v>
      </c>
    </row>
    <row r="38" spans="1:13" ht="12.75">
      <c r="A38" s="6">
        <v>2</v>
      </c>
      <c r="B38" s="1" t="s">
        <v>266</v>
      </c>
      <c r="C38" s="2" t="s">
        <v>39</v>
      </c>
      <c r="D38" s="2" t="s">
        <v>60</v>
      </c>
      <c r="E38" s="7">
        <v>2015</v>
      </c>
      <c r="F38" s="12">
        <v>4.25</v>
      </c>
      <c r="G38" s="13">
        <v>2017</v>
      </c>
      <c r="I38" s="10">
        <f t="shared" si="2"/>
        <v>1.3</v>
      </c>
      <c r="J38" s="10">
        <f t="shared" si="3"/>
        <v>1.3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20" t="s">
        <v>248</v>
      </c>
      <c r="C39" s="2" t="s">
        <v>43</v>
      </c>
      <c r="D39" s="2" t="s">
        <v>76</v>
      </c>
      <c r="E39" s="7">
        <v>2013</v>
      </c>
      <c r="F39" s="8">
        <v>3.6</v>
      </c>
      <c r="G39" s="9">
        <v>2017</v>
      </c>
      <c r="I39" s="10">
        <f t="shared" si="2"/>
        <v>1.1</v>
      </c>
      <c r="J39" s="10">
        <f t="shared" si="3"/>
        <v>1.1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166</v>
      </c>
      <c r="C40" s="2" t="s">
        <v>39</v>
      </c>
      <c r="D40" s="2" t="s">
        <v>81</v>
      </c>
      <c r="E40" s="2">
        <v>2013</v>
      </c>
      <c r="F40" s="8">
        <v>5.2</v>
      </c>
      <c r="G40" s="9">
        <v>2016</v>
      </c>
      <c r="I40" s="10">
        <f t="shared" si="2"/>
        <v>1.6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782</v>
      </c>
      <c r="C41" s="2" t="s">
        <v>41</v>
      </c>
      <c r="D41" s="2" t="s">
        <v>114</v>
      </c>
      <c r="E41" s="7">
        <v>2016</v>
      </c>
      <c r="F41" s="12">
        <v>3</v>
      </c>
      <c r="G41" s="13">
        <v>2016</v>
      </c>
      <c r="I41" s="10">
        <f t="shared" si="2"/>
        <v>3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145</v>
      </c>
      <c r="C42" s="2" t="s">
        <v>38</v>
      </c>
      <c r="D42" s="2" t="s">
        <v>58</v>
      </c>
      <c r="E42" s="2">
        <v>2016</v>
      </c>
      <c r="F42" s="12">
        <v>3</v>
      </c>
      <c r="G42" s="13">
        <v>2016</v>
      </c>
      <c r="I42" s="10">
        <f t="shared" si="2"/>
        <v>3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01" t="s">
        <v>783</v>
      </c>
      <c r="C43" s="2" t="s">
        <v>42</v>
      </c>
      <c r="D43" s="30" t="s">
        <v>80</v>
      </c>
      <c r="E43" s="7">
        <v>2016</v>
      </c>
      <c r="F43" s="8">
        <v>3</v>
      </c>
      <c r="G43" s="9">
        <v>2016</v>
      </c>
      <c r="I43" s="10">
        <f t="shared" si="2"/>
        <v>3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90</v>
      </c>
      <c r="C44" s="30" t="s">
        <v>40</v>
      </c>
      <c r="D44" s="30" t="s">
        <v>57</v>
      </c>
      <c r="E44" s="7">
        <v>2012</v>
      </c>
      <c r="F44" s="8">
        <v>2.35</v>
      </c>
      <c r="G44" s="9">
        <v>2016</v>
      </c>
      <c r="I44" s="10">
        <f t="shared" si="2"/>
        <v>0.75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169</v>
      </c>
      <c r="C45" s="2" t="s">
        <v>39</v>
      </c>
      <c r="D45" s="2" t="s">
        <v>68</v>
      </c>
      <c r="E45" s="7">
        <v>2013</v>
      </c>
      <c r="F45" s="8">
        <v>2.35</v>
      </c>
      <c r="G45" s="9">
        <v>2016</v>
      </c>
      <c r="I45" s="10">
        <f t="shared" si="2"/>
        <v>0.75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/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/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1"/>
      <c r="D48" s="2"/>
      <c r="E48" s="7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1"/>
      <c r="D49" s="2"/>
      <c r="E49" s="7"/>
      <c r="F49" s="12"/>
      <c r="G49" s="13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1"/>
      <c r="D50" s="2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31"/>
      <c r="D51" s="2"/>
      <c r="E51" s="7"/>
      <c r="F51" s="12"/>
      <c r="G51" s="13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D52" s="2"/>
      <c r="E52" s="7"/>
      <c r="F52" s="8"/>
      <c r="G52" s="9"/>
      <c r="I52" s="10">
        <f t="shared" si="2"/>
        <v>0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.75">
      <c r="A53" s="6">
        <v>17</v>
      </c>
      <c r="D53" s="2"/>
      <c r="E53" s="7"/>
      <c r="F53" s="8"/>
      <c r="G53" s="9"/>
      <c r="I53" s="10">
        <f aca="true" t="shared" si="7" ref="I53:I58">+CEILING(IF($I$35=E53,F53,IF($I$35&lt;=G53,F53*0.3,0)),0.05)</f>
        <v>0</v>
      </c>
      <c r="J53" s="10">
        <f aca="true" t="shared" si="8" ref="J53:J58">+CEILING(IF($J$35&lt;=G53,F53*0.3,0),0.05)</f>
        <v>0</v>
      </c>
      <c r="K53" s="10">
        <f aca="true" t="shared" si="9" ref="K53:K58">+CEILING(IF($K$35&lt;=G53,F53*0.3,0),0.05)</f>
        <v>0</v>
      </c>
      <c r="L53" s="10">
        <f aca="true" t="shared" si="10" ref="L53:L58">+CEILING(IF($L$35&lt;=G53,F53*0.3,0),0.05)</f>
        <v>0</v>
      </c>
      <c r="M53" s="10">
        <f aca="true" t="shared" si="11" ref="M53:M58">CEILING(IF($M$35&lt;=G53,F53*0.3,0),0.05)</f>
        <v>0</v>
      </c>
    </row>
    <row r="54" spans="1:13" ht="12.75">
      <c r="A54" s="6">
        <v>18</v>
      </c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1"/>
      <c r="D55" s="2"/>
      <c r="E55" s="7"/>
      <c r="F55" s="12"/>
      <c r="G55" s="13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.75">
      <c r="A56" s="6">
        <v>20</v>
      </c>
      <c r="B56" s="31"/>
      <c r="D56" s="2"/>
      <c r="E56" s="7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B57" s="31"/>
      <c r="D57" s="2"/>
      <c r="E57" s="7"/>
      <c r="F57" s="8"/>
      <c r="G57" s="9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.75">
      <c r="A58" s="6">
        <v>22</v>
      </c>
      <c r="D58" s="2"/>
      <c r="E58" s="7"/>
      <c r="F58" s="8"/>
      <c r="G58" s="9"/>
      <c r="I58" s="10">
        <f t="shared" si="7"/>
        <v>0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.75">
      <c r="A59" s="6">
        <v>23</v>
      </c>
      <c r="D59" s="2"/>
      <c r="E59" s="7"/>
      <c r="F59" s="8"/>
      <c r="G59" s="9"/>
      <c r="I59" s="10">
        <f>+CEILING(IF($I$35=E59,F59,IF($I$35&lt;=G59,F59*0.3,0)),0.05)</f>
        <v>0</v>
      </c>
      <c r="J59" s="10">
        <f>+CEILING(IF($J$35&lt;=G59,F59*0.3,0),0.05)</f>
        <v>0</v>
      </c>
      <c r="K59" s="10">
        <f>+CEILING(IF($K$35&lt;=G59,F59*0.3,0),0.05)</f>
        <v>0</v>
      </c>
      <c r="L59" s="10">
        <f>+CEILING(IF($L$35&lt;=G59,F59*0.3,0),0.05)</f>
        <v>0</v>
      </c>
      <c r="M59" s="10">
        <f>CEILING(IF($M$35&lt;=G59,F59*0.3,0),0.05)</f>
        <v>0</v>
      </c>
    </row>
    <row r="60" spans="1:13" ht="12.75">
      <c r="A60" s="6">
        <v>24</v>
      </c>
      <c r="D60" s="2"/>
      <c r="E60" s="7"/>
      <c r="F60" s="12"/>
      <c r="G60" s="13"/>
      <c r="I60" s="10">
        <f aca="true" t="shared" si="12" ref="I60:I66">+CEILING(IF($I$35=E60,F60,IF($I$35&lt;=G60,F60*0.3,0)),0.05)</f>
        <v>0</v>
      </c>
      <c r="J60" s="10">
        <f aca="true" t="shared" si="13" ref="J60:J66">+CEILING(IF($J$35&lt;=G60,F60*0.3,0),0.05)</f>
        <v>0</v>
      </c>
      <c r="K60" s="10">
        <f aca="true" t="shared" si="14" ref="K60:K66">+CEILING(IF($K$35&lt;=G60,F60*0.3,0),0.05)</f>
        <v>0</v>
      </c>
      <c r="L60" s="10">
        <f aca="true" t="shared" si="15" ref="L60:L66">+CEILING(IF($L$35&lt;=G60,F60*0.3,0),0.05)</f>
        <v>0</v>
      </c>
      <c r="M60" s="10">
        <f aca="true" t="shared" si="16" ref="M60:M66">CEILING(IF($M$35&lt;=G60,F60*0.3,0),0.05)</f>
        <v>0</v>
      </c>
    </row>
    <row r="61" spans="1:13" ht="12.75">
      <c r="A61" s="6">
        <v>25</v>
      </c>
      <c r="B61" s="31"/>
      <c r="C61" s="30"/>
      <c r="D61" s="30"/>
      <c r="E61" s="7"/>
      <c r="F61" s="8"/>
      <c r="G61" s="9"/>
      <c r="I61" s="10">
        <f t="shared" si="12"/>
        <v>0</v>
      </c>
      <c r="J61" s="10">
        <f t="shared" si="13"/>
        <v>0</v>
      </c>
      <c r="K61" s="10">
        <f t="shared" si="14"/>
        <v>0</v>
      </c>
      <c r="L61" s="10">
        <f t="shared" si="15"/>
        <v>0</v>
      </c>
      <c r="M61" s="10">
        <f t="shared" si="16"/>
        <v>0</v>
      </c>
    </row>
    <row r="62" spans="1:13" ht="12.75">
      <c r="A62" s="6">
        <v>26</v>
      </c>
      <c r="B62" s="29"/>
      <c r="C62" s="30"/>
      <c r="D62" s="30"/>
      <c r="E62" s="7"/>
      <c r="F62" s="8"/>
      <c r="G62" s="9"/>
      <c r="I62" s="10">
        <f t="shared" si="12"/>
        <v>0</v>
      </c>
      <c r="J62" s="10">
        <f t="shared" si="13"/>
        <v>0</v>
      </c>
      <c r="K62" s="10">
        <f t="shared" si="14"/>
        <v>0</v>
      </c>
      <c r="L62" s="10">
        <f t="shared" si="15"/>
        <v>0</v>
      </c>
      <c r="M62" s="10">
        <f t="shared" si="16"/>
        <v>0</v>
      </c>
    </row>
    <row r="63" spans="1:13" ht="12.75">
      <c r="A63" s="6">
        <v>27</v>
      </c>
      <c r="B63" s="31"/>
      <c r="C63" s="30"/>
      <c r="D63" s="30"/>
      <c r="E63" s="7"/>
      <c r="F63" s="8"/>
      <c r="G63" s="9"/>
      <c r="I63" s="10">
        <f t="shared" si="12"/>
        <v>0</v>
      </c>
      <c r="J63" s="10">
        <f t="shared" si="13"/>
        <v>0</v>
      </c>
      <c r="K63" s="10">
        <f t="shared" si="14"/>
        <v>0</v>
      </c>
      <c r="L63" s="10">
        <f t="shared" si="15"/>
        <v>0</v>
      </c>
      <c r="M63" s="10">
        <f t="shared" si="16"/>
        <v>0</v>
      </c>
    </row>
    <row r="64" spans="1:13" ht="12.75">
      <c r="A64" s="6">
        <v>28</v>
      </c>
      <c r="B64" s="33"/>
      <c r="C64" s="30"/>
      <c r="D64" s="30"/>
      <c r="E64" s="7"/>
      <c r="F64" s="8"/>
      <c r="G64" s="9"/>
      <c r="I64" s="10">
        <f t="shared" si="12"/>
        <v>0</v>
      </c>
      <c r="J64" s="10">
        <f t="shared" si="13"/>
        <v>0</v>
      </c>
      <c r="K64" s="10">
        <f t="shared" si="14"/>
        <v>0</v>
      </c>
      <c r="L64" s="10">
        <f t="shared" si="15"/>
        <v>0</v>
      </c>
      <c r="M64" s="10">
        <f t="shared" si="16"/>
        <v>0</v>
      </c>
    </row>
    <row r="65" spans="1:13" ht="12.75">
      <c r="A65" s="6">
        <v>29</v>
      </c>
      <c r="B65" s="31"/>
      <c r="D65" s="30"/>
      <c r="E65" s="7"/>
      <c r="F65" s="12"/>
      <c r="G65" s="13"/>
      <c r="I65" s="10">
        <f t="shared" si="12"/>
        <v>0</v>
      </c>
      <c r="J65" s="10">
        <f t="shared" si="13"/>
        <v>0</v>
      </c>
      <c r="K65" s="10">
        <f t="shared" si="14"/>
        <v>0</v>
      </c>
      <c r="L65" s="10">
        <f t="shared" si="15"/>
        <v>0</v>
      </c>
      <c r="M65" s="10">
        <f t="shared" si="16"/>
        <v>0</v>
      </c>
    </row>
    <row r="66" spans="1:13" ht="12.75">
      <c r="A66" s="6">
        <v>30</v>
      </c>
      <c r="B66" s="33"/>
      <c r="C66" s="30"/>
      <c r="D66" s="30"/>
      <c r="E66" s="7"/>
      <c r="F66" s="8"/>
      <c r="G66" s="9"/>
      <c r="I66" s="10">
        <f t="shared" si="12"/>
        <v>0</v>
      </c>
      <c r="J66" s="10">
        <f t="shared" si="13"/>
        <v>0</v>
      </c>
      <c r="K66" s="10">
        <f t="shared" si="14"/>
        <v>0</v>
      </c>
      <c r="L66" s="10">
        <f t="shared" si="15"/>
        <v>0</v>
      </c>
      <c r="M66" s="10">
        <f t="shared" si="16"/>
        <v>0</v>
      </c>
    </row>
    <row r="67" spans="9:13" ht="7.5" customHeight="1">
      <c r="I67" s="14"/>
      <c r="J67" s="14"/>
      <c r="K67" s="14"/>
      <c r="L67" s="14"/>
      <c r="M67" s="14"/>
    </row>
    <row r="68" spans="9:13" ht="12.75">
      <c r="I68" s="15">
        <f>+SUM(I37:I67)</f>
        <v>18.35</v>
      </c>
      <c r="J68" s="15">
        <f>+SUM(J37:J67)</f>
        <v>6.25</v>
      </c>
      <c r="K68" s="15">
        <f>+SUM(K37:K67)</f>
        <v>0</v>
      </c>
      <c r="L68" s="15">
        <f>+SUM(L37:L67)</f>
        <v>0</v>
      </c>
      <c r="M68" s="15">
        <f>+SUM(M37:M67)</f>
        <v>0</v>
      </c>
    </row>
    <row r="69" spans="9:13" ht="12.75">
      <c r="I69" s="16"/>
      <c r="J69" s="16"/>
      <c r="K69" s="16"/>
      <c r="L69" s="16"/>
      <c r="M6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567</v>
      </c>
      <c r="C5" s="2" t="s">
        <v>41</v>
      </c>
      <c r="D5" s="2" t="s">
        <v>79</v>
      </c>
      <c r="E5" s="7" t="s">
        <v>557</v>
      </c>
      <c r="F5" s="8">
        <v>49</v>
      </c>
      <c r="G5" s="11">
        <v>2020</v>
      </c>
      <c r="I5" s="10">
        <f aca="true" t="shared" si="0" ref="I5:M14">+IF($G5&gt;=I$3,$F5,0)</f>
        <v>49</v>
      </c>
      <c r="J5" s="10">
        <f t="shared" si="0"/>
        <v>49</v>
      </c>
      <c r="K5" s="10">
        <f t="shared" si="0"/>
        <v>49</v>
      </c>
      <c r="L5" s="10">
        <f t="shared" si="0"/>
        <v>49</v>
      </c>
      <c r="M5" s="10">
        <f t="shared" si="0"/>
        <v>49</v>
      </c>
    </row>
    <row r="6" spans="1:13" ht="12.75">
      <c r="A6" s="6">
        <v>2</v>
      </c>
      <c r="B6" s="31" t="s">
        <v>595</v>
      </c>
      <c r="C6" s="2" t="s">
        <v>38</v>
      </c>
      <c r="D6" s="2" t="s">
        <v>81</v>
      </c>
      <c r="E6" s="7" t="s">
        <v>557</v>
      </c>
      <c r="F6" s="8">
        <v>25</v>
      </c>
      <c r="G6" s="9">
        <v>2020</v>
      </c>
      <c r="I6" s="10">
        <f t="shared" si="0"/>
        <v>25</v>
      </c>
      <c r="J6" s="10">
        <f t="shared" si="0"/>
        <v>25</v>
      </c>
      <c r="K6" s="10">
        <f t="shared" si="0"/>
        <v>25</v>
      </c>
      <c r="L6" s="10">
        <f t="shared" si="0"/>
        <v>25</v>
      </c>
      <c r="M6" s="10">
        <f t="shared" si="0"/>
        <v>25</v>
      </c>
    </row>
    <row r="7" spans="1:13" ht="12.75">
      <c r="A7" s="6">
        <v>3</v>
      </c>
      <c r="B7" s="31" t="s">
        <v>563</v>
      </c>
      <c r="C7" s="30" t="s">
        <v>43</v>
      </c>
      <c r="D7" s="30" t="s">
        <v>84</v>
      </c>
      <c r="E7" s="32" t="s">
        <v>557</v>
      </c>
      <c r="F7" s="8">
        <v>20.4</v>
      </c>
      <c r="G7" s="9">
        <v>2020</v>
      </c>
      <c r="I7" s="10">
        <f t="shared" si="0"/>
        <v>20.4</v>
      </c>
      <c r="J7" s="10">
        <f t="shared" si="0"/>
        <v>20.4</v>
      </c>
      <c r="K7" s="10">
        <f t="shared" si="0"/>
        <v>20.4</v>
      </c>
      <c r="L7" s="10">
        <f t="shared" si="0"/>
        <v>20.4</v>
      </c>
      <c r="M7" s="10">
        <f t="shared" si="0"/>
        <v>20.4</v>
      </c>
    </row>
    <row r="8" spans="1:13" ht="12.75">
      <c r="A8" s="6">
        <v>4</v>
      </c>
      <c r="B8" s="1" t="s">
        <v>562</v>
      </c>
      <c r="C8" s="2" t="s">
        <v>44</v>
      </c>
      <c r="D8" s="2" t="s">
        <v>58</v>
      </c>
      <c r="E8" s="32" t="s">
        <v>557</v>
      </c>
      <c r="F8" s="8">
        <v>11.75</v>
      </c>
      <c r="G8" s="9">
        <v>2020</v>
      </c>
      <c r="I8" s="10">
        <f t="shared" si="0"/>
        <v>11.75</v>
      </c>
      <c r="J8" s="10">
        <f t="shared" si="0"/>
        <v>11.75</v>
      </c>
      <c r="K8" s="10">
        <f t="shared" si="0"/>
        <v>11.75</v>
      </c>
      <c r="L8" s="10">
        <f t="shared" si="0"/>
        <v>11.75</v>
      </c>
      <c r="M8" s="10">
        <f t="shared" si="0"/>
        <v>11.75</v>
      </c>
    </row>
    <row r="9" spans="1:13" ht="12.75">
      <c r="A9" s="6">
        <v>5</v>
      </c>
      <c r="B9" s="31" t="s">
        <v>592</v>
      </c>
      <c r="C9" s="2" t="s">
        <v>44</v>
      </c>
      <c r="D9" s="2" t="s">
        <v>60</v>
      </c>
      <c r="E9" s="7" t="s">
        <v>557</v>
      </c>
      <c r="F9" s="8">
        <v>7.6</v>
      </c>
      <c r="G9" s="9">
        <v>2020</v>
      </c>
      <c r="I9" s="10">
        <f t="shared" si="0"/>
        <v>7.6</v>
      </c>
      <c r="J9" s="10">
        <f t="shared" si="0"/>
        <v>7.6</v>
      </c>
      <c r="K9" s="10">
        <f t="shared" si="0"/>
        <v>7.6</v>
      </c>
      <c r="L9" s="10">
        <f t="shared" si="0"/>
        <v>7.6</v>
      </c>
      <c r="M9" s="10">
        <f t="shared" si="0"/>
        <v>7.6</v>
      </c>
    </row>
    <row r="10" spans="1:13" ht="12.75">
      <c r="A10" s="6">
        <v>6</v>
      </c>
      <c r="B10" s="1" t="s">
        <v>637</v>
      </c>
      <c r="C10" s="2" t="s">
        <v>38</v>
      </c>
      <c r="D10" s="2" t="s">
        <v>86</v>
      </c>
      <c r="E10" s="7" t="s">
        <v>557</v>
      </c>
      <c r="F10" s="8">
        <v>3</v>
      </c>
      <c r="G10" s="13">
        <v>2020</v>
      </c>
      <c r="I10" s="10">
        <f t="shared" si="0"/>
        <v>3</v>
      </c>
      <c r="J10" s="10">
        <f t="shared" si="0"/>
        <v>3</v>
      </c>
      <c r="K10" s="10">
        <f t="shared" si="0"/>
        <v>3</v>
      </c>
      <c r="L10" s="10">
        <f t="shared" si="0"/>
        <v>3</v>
      </c>
      <c r="M10" s="10">
        <f t="shared" si="0"/>
        <v>3</v>
      </c>
    </row>
    <row r="11" spans="1:13" ht="12.75">
      <c r="A11" s="6">
        <v>7</v>
      </c>
      <c r="B11" s="31" t="s">
        <v>657</v>
      </c>
      <c r="C11" s="2" t="s">
        <v>44</v>
      </c>
      <c r="D11" s="30" t="s">
        <v>87</v>
      </c>
      <c r="E11" s="2" t="s">
        <v>557</v>
      </c>
      <c r="F11" s="8">
        <v>3</v>
      </c>
      <c r="G11" s="9">
        <v>2020</v>
      </c>
      <c r="I11" s="10">
        <f t="shared" si="0"/>
        <v>3</v>
      </c>
      <c r="J11" s="10">
        <f t="shared" si="0"/>
        <v>3</v>
      </c>
      <c r="K11" s="10">
        <f t="shared" si="0"/>
        <v>3</v>
      </c>
      <c r="L11" s="10">
        <f t="shared" si="0"/>
        <v>3</v>
      </c>
      <c r="M11" s="10">
        <f t="shared" si="0"/>
        <v>3</v>
      </c>
    </row>
    <row r="12" spans="1:13" ht="12.75">
      <c r="A12" s="6">
        <v>8</v>
      </c>
      <c r="B12" s="1" t="s">
        <v>351</v>
      </c>
      <c r="C12" s="30" t="s">
        <v>40</v>
      </c>
      <c r="D12" s="30" t="s">
        <v>85</v>
      </c>
      <c r="E12" s="7" t="s">
        <v>557</v>
      </c>
      <c r="F12" s="12">
        <v>3</v>
      </c>
      <c r="G12" s="13">
        <v>2020</v>
      </c>
      <c r="I12" s="10">
        <f t="shared" si="0"/>
        <v>3</v>
      </c>
      <c r="J12" s="10">
        <f t="shared" si="0"/>
        <v>3</v>
      </c>
      <c r="K12" s="10">
        <f t="shared" si="0"/>
        <v>3</v>
      </c>
      <c r="L12" s="10">
        <f t="shared" si="0"/>
        <v>3</v>
      </c>
      <c r="M12" s="10">
        <f t="shared" si="0"/>
        <v>3</v>
      </c>
    </row>
    <row r="13" spans="1:13" ht="12.75">
      <c r="A13" s="6">
        <v>9</v>
      </c>
      <c r="B13" s="1" t="s">
        <v>474</v>
      </c>
      <c r="C13" s="2" t="s">
        <v>38</v>
      </c>
      <c r="D13" s="2" t="s">
        <v>70</v>
      </c>
      <c r="E13" s="7" t="s">
        <v>427</v>
      </c>
      <c r="F13" s="8">
        <v>6</v>
      </c>
      <c r="G13" s="9">
        <v>2019</v>
      </c>
      <c r="I13" s="10">
        <f t="shared" si="0"/>
        <v>6</v>
      </c>
      <c r="J13" s="10">
        <f t="shared" si="0"/>
        <v>6</v>
      </c>
      <c r="K13" s="10">
        <f t="shared" si="0"/>
        <v>6</v>
      </c>
      <c r="L13" s="10">
        <f t="shared" si="0"/>
        <v>6</v>
      </c>
      <c r="M13" s="10">
        <f t="shared" si="0"/>
        <v>0</v>
      </c>
    </row>
    <row r="14" spans="1:13" ht="12.75">
      <c r="A14" s="6">
        <v>10</v>
      </c>
      <c r="B14" s="31" t="s">
        <v>416</v>
      </c>
      <c r="C14" s="2" t="s">
        <v>43</v>
      </c>
      <c r="D14" s="2" t="s">
        <v>85</v>
      </c>
      <c r="E14" s="7" t="s">
        <v>386</v>
      </c>
      <c r="F14" s="8">
        <v>2.9</v>
      </c>
      <c r="G14" s="9">
        <v>2019</v>
      </c>
      <c r="I14" s="10">
        <f t="shared" si="0"/>
        <v>2.9</v>
      </c>
      <c r="J14" s="10">
        <f t="shared" si="0"/>
        <v>2.9</v>
      </c>
      <c r="K14" s="10">
        <f t="shared" si="0"/>
        <v>2.9</v>
      </c>
      <c r="L14" s="10">
        <f t="shared" si="0"/>
        <v>2.9</v>
      </c>
      <c r="M14" s="10">
        <f t="shared" si="0"/>
        <v>0</v>
      </c>
    </row>
    <row r="15" spans="1:13" ht="12.75">
      <c r="A15" s="6">
        <v>11</v>
      </c>
      <c r="B15" s="31" t="s">
        <v>332</v>
      </c>
      <c r="C15" s="2" t="s">
        <v>43</v>
      </c>
      <c r="D15" s="2" t="s">
        <v>66</v>
      </c>
      <c r="E15" s="7" t="s">
        <v>372</v>
      </c>
      <c r="F15" s="12">
        <v>5.75</v>
      </c>
      <c r="G15" s="13">
        <v>2018</v>
      </c>
      <c r="I15" s="10">
        <f aca="true" t="shared" si="1" ref="I15:M29">+IF($G15&gt;=I$3,$F15,0)</f>
        <v>5.75</v>
      </c>
      <c r="J15" s="10">
        <f t="shared" si="1"/>
        <v>5.75</v>
      </c>
      <c r="K15" s="10">
        <f t="shared" si="1"/>
        <v>5.75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369</v>
      </c>
      <c r="C16" s="2" t="s">
        <v>41</v>
      </c>
      <c r="D16" s="2" t="s">
        <v>82</v>
      </c>
      <c r="E16" s="7" t="s">
        <v>372</v>
      </c>
      <c r="F16" s="8">
        <v>3.9</v>
      </c>
      <c r="G16" s="9">
        <v>2018</v>
      </c>
      <c r="I16" s="10">
        <f t="shared" si="1"/>
        <v>3.9</v>
      </c>
      <c r="J16" s="10">
        <f t="shared" si="1"/>
        <v>3.9</v>
      </c>
      <c r="K16" s="10">
        <f t="shared" si="1"/>
        <v>3.9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305</v>
      </c>
      <c r="C17" s="2" t="s">
        <v>40</v>
      </c>
      <c r="D17" s="2" t="s">
        <v>71</v>
      </c>
      <c r="E17" s="7" t="s">
        <v>371</v>
      </c>
      <c r="F17" s="8">
        <v>2.75</v>
      </c>
      <c r="G17" s="9">
        <v>2018</v>
      </c>
      <c r="I17" s="10">
        <f t="shared" si="1"/>
        <v>2.75</v>
      </c>
      <c r="J17" s="10">
        <f t="shared" si="1"/>
        <v>2.75</v>
      </c>
      <c r="K17" s="10">
        <f t="shared" si="1"/>
        <v>2.75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203</v>
      </c>
      <c r="C18" s="2" t="s">
        <v>40</v>
      </c>
      <c r="D18" s="2" t="s">
        <v>85</v>
      </c>
      <c r="E18" s="7" t="s">
        <v>373</v>
      </c>
      <c r="F18" s="8">
        <v>11.45</v>
      </c>
      <c r="G18" s="11">
        <v>2017</v>
      </c>
      <c r="I18" s="10">
        <f t="shared" si="1"/>
        <v>11.45</v>
      </c>
      <c r="J18" s="10">
        <f t="shared" si="1"/>
        <v>11.45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510</v>
      </c>
      <c r="C19" s="30" t="s">
        <v>38</v>
      </c>
      <c r="D19" s="30" t="s">
        <v>79</v>
      </c>
      <c r="E19" s="32" t="s">
        <v>507</v>
      </c>
      <c r="F19" s="8">
        <v>77.5</v>
      </c>
      <c r="G19" s="9">
        <v>2016</v>
      </c>
      <c r="I19" s="10">
        <f t="shared" si="1"/>
        <v>77.5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667</v>
      </c>
      <c r="C20" s="2" t="s">
        <v>40</v>
      </c>
      <c r="D20" s="2" t="s">
        <v>79</v>
      </c>
      <c r="E20" s="2" t="s">
        <v>557</v>
      </c>
      <c r="F20" s="12">
        <v>11.25</v>
      </c>
      <c r="G20" s="13">
        <v>2016</v>
      </c>
      <c r="I20" s="10">
        <f t="shared" si="1"/>
        <v>11.25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333</v>
      </c>
      <c r="C21" s="2" t="s">
        <v>43</v>
      </c>
      <c r="D21" s="2" t="s">
        <v>64</v>
      </c>
      <c r="E21" s="32" t="s">
        <v>372</v>
      </c>
      <c r="F21" s="8">
        <v>10.75</v>
      </c>
      <c r="G21" s="9">
        <v>2016</v>
      </c>
      <c r="I21" s="10">
        <f t="shared" si="1"/>
        <v>10.75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344</v>
      </c>
      <c r="C22" s="2" t="s">
        <v>40</v>
      </c>
      <c r="D22" s="2" t="s">
        <v>70</v>
      </c>
      <c r="E22" s="7" t="s">
        <v>372</v>
      </c>
      <c r="F22" s="8">
        <v>10.75</v>
      </c>
      <c r="G22" s="9">
        <v>2016</v>
      </c>
      <c r="I22" s="10">
        <f t="shared" si="1"/>
        <v>10.75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21" t="s">
        <v>436</v>
      </c>
      <c r="C23" s="2" t="s">
        <v>42</v>
      </c>
      <c r="D23" s="2" t="s">
        <v>61</v>
      </c>
      <c r="E23" s="7" t="s">
        <v>427</v>
      </c>
      <c r="F23" s="12">
        <v>8.3</v>
      </c>
      <c r="G23" s="13">
        <v>2016</v>
      </c>
      <c r="I23" s="10">
        <f t="shared" si="1"/>
        <v>8.3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186</v>
      </c>
      <c r="C24" s="2" t="s">
        <v>39</v>
      </c>
      <c r="D24" s="2" t="s">
        <v>76</v>
      </c>
      <c r="E24" s="2" t="s">
        <v>56</v>
      </c>
      <c r="F24" s="12">
        <v>8.1</v>
      </c>
      <c r="G24" s="13">
        <v>2016</v>
      </c>
      <c r="I24" s="10">
        <f t="shared" si="1"/>
        <v>8.1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167</v>
      </c>
      <c r="C25" s="2" t="s">
        <v>43</v>
      </c>
      <c r="D25" s="2" t="s">
        <v>82</v>
      </c>
      <c r="E25" s="32" t="s">
        <v>56</v>
      </c>
      <c r="F25" s="8">
        <v>6</v>
      </c>
      <c r="G25" s="11">
        <v>2016</v>
      </c>
      <c r="I25" s="10">
        <f t="shared" si="1"/>
        <v>6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780</v>
      </c>
      <c r="C26" s="2" t="s">
        <v>38</v>
      </c>
      <c r="D26" s="2" t="s">
        <v>79</v>
      </c>
      <c r="E26" s="7" t="s">
        <v>691</v>
      </c>
      <c r="F26" s="8">
        <v>3</v>
      </c>
      <c r="G26" s="9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781</v>
      </c>
      <c r="C27" s="2" t="s">
        <v>43</v>
      </c>
      <c r="D27" s="2" t="s">
        <v>55</v>
      </c>
      <c r="E27" s="2" t="s">
        <v>691</v>
      </c>
      <c r="F27" s="8">
        <v>3</v>
      </c>
      <c r="G27" s="9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690</v>
      </c>
      <c r="C28" s="2" t="s">
        <v>39</v>
      </c>
      <c r="D28" s="2" t="s">
        <v>64</v>
      </c>
      <c r="E28" s="32" t="s">
        <v>691</v>
      </c>
      <c r="F28" s="8">
        <v>3</v>
      </c>
      <c r="G28" s="9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" t="s">
        <v>700</v>
      </c>
      <c r="C29" s="2" t="s">
        <v>39</v>
      </c>
      <c r="D29" s="2" t="s">
        <v>60</v>
      </c>
      <c r="E29" s="7" t="s">
        <v>691</v>
      </c>
      <c r="F29" s="12">
        <v>3</v>
      </c>
      <c r="G29" s="13">
        <v>2016</v>
      </c>
      <c r="I29" s="10">
        <f t="shared" si="1"/>
        <v>3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1"/>
      <c r="D31" s="2"/>
      <c r="E31" s="32"/>
      <c r="F31" s="8"/>
      <c r="G31" s="9"/>
      <c r="I31" s="15">
        <f>+SUM(I5:I29)</f>
        <v>300.15000000000003</v>
      </c>
      <c r="J31" s="15">
        <f>+SUM(J5:J29)</f>
        <v>155.5</v>
      </c>
      <c r="K31" s="15">
        <f>+SUM(K5:K29)</f>
        <v>144.05</v>
      </c>
      <c r="L31" s="15">
        <f>+SUM(L5:L29)</f>
        <v>131.65</v>
      </c>
      <c r="M31" s="15">
        <f>+SUM(M5:M29)</f>
        <v>122.75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13" ht="7.5" customHeight="1">
      <c r="B36" s="3"/>
      <c r="C36" s="5"/>
      <c r="E36" s="5"/>
      <c r="F36" s="5"/>
      <c r="I36" s="17"/>
      <c r="J36" s="17"/>
      <c r="K36" s="17"/>
      <c r="L36" s="17"/>
      <c r="M36" s="17"/>
    </row>
    <row r="37" spans="1:13" ht="12.75">
      <c r="A37" s="6">
        <v>1</v>
      </c>
      <c r="B37" s="31" t="s">
        <v>475</v>
      </c>
      <c r="C37" s="2" t="s">
        <v>38</v>
      </c>
      <c r="D37" s="2" t="s">
        <v>82</v>
      </c>
      <c r="E37" s="32">
        <v>2015</v>
      </c>
      <c r="F37" s="8">
        <v>12</v>
      </c>
      <c r="G37" s="9">
        <v>2019</v>
      </c>
      <c r="I37" s="10">
        <f aca="true" t="shared" si="2" ref="I37:I50">+CEILING(IF($I$35=E37,F37,IF($I$35&lt;=G37,F37*0.3,0)),0.05)</f>
        <v>3.6</v>
      </c>
      <c r="J37" s="10">
        <f aca="true" t="shared" si="3" ref="J37:J50">+CEILING(IF($J$35&lt;=G37,F37*0.3,0),0.05)</f>
        <v>3.6</v>
      </c>
      <c r="K37" s="10">
        <f aca="true" t="shared" si="4" ref="K37:K50">+CEILING(IF($K$35&lt;=G37,F37*0.3,0),0.05)</f>
        <v>3.6</v>
      </c>
      <c r="L37" s="10">
        <f aca="true" t="shared" si="5" ref="L37:L50">+CEILING(IF($L$35&lt;=G37,F37*0.3,0),0.05)</f>
        <v>3.6</v>
      </c>
      <c r="M37" s="10">
        <f aca="true" t="shared" si="6" ref="M37:M50">CEILING(IF($M$35&lt;=G37,F37*0.3,0),0.05)</f>
        <v>0</v>
      </c>
    </row>
    <row r="38" spans="1:13" ht="12.75">
      <c r="A38" s="6">
        <v>2</v>
      </c>
      <c r="B38" s="1" t="s">
        <v>346</v>
      </c>
      <c r="C38" s="2" t="s">
        <v>39</v>
      </c>
      <c r="D38" s="2" t="s">
        <v>55</v>
      </c>
      <c r="E38" s="7">
        <v>2016</v>
      </c>
      <c r="F38" s="8">
        <v>16.45</v>
      </c>
      <c r="G38" s="9">
        <v>2018</v>
      </c>
      <c r="I38" s="10">
        <f t="shared" si="2"/>
        <v>16.45</v>
      </c>
      <c r="J38" s="10">
        <f t="shared" si="3"/>
        <v>4.95</v>
      </c>
      <c r="K38" s="10">
        <f t="shared" si="4"/>
        <v>4.95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323</v>
      </c>
      <c r="C39" s="2" t="s">
        <v>39</v>
      </c>
      <c r="D39" s="2" t="s">
        <v>66</v>
      </c>
      <c r="E39" s="2">
        <v>2015</v>
      </c>
      <c r="F39" s="8">
        <v>2.75</v>
      </c>
      <c r="G39" s="9">
        <v>2018</v>
      </c>
      <c r="I39" s="10">
        <f t="shared" si="2"/>
        <v>0.8500000000000001</v>
      </c>
      <c r="J39" s="10">
        <f t="shared" si="3"/>
        <v>0.8500000000000001</v>
      </c>
      <c r="K39" s="10">
        <f t="shared" si="4"/>
        <v>0.8500000000000001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319</v>
      </c>
      <c r="C40" s="2" t="s">
        <v>39</v>
      </c>
      <c r="D40" s="2" t="s">
        <v>58</v>
      </c>
      <c r="E40" s="2">
        <v>2016</v>
      </c>
      <c r="F40" s="8">
        <v>2.75</v>
      </c>
      <c r="G40" s="9">
        <v>2018</v>
      </c>
      <c r="I40" s="10">
        <f t="shared" si="2"/>
        <v>2.75</v>
      </c>
      <c r="J40" s="10">
        <f t="shared" si="3"/>
        <v>0.8500000000000001</v>
      </c>
      <c r="K40" s="10">
        <f t="shared" si="4"/>
        <v>0.8500000000000001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235</v>
      </c>
      <c r="C41" s="30" t="s">
        <v>43</v>
      </c>
      <c r="D41" s="30" t="s">
        <v>80</v>
      </c>
      <c r="E41" s="32">
        <v>2015</v>
      </c>
      <c r="F41" s="12">
        <v>10.55</v>
      </c>
      <c r="G41" s="13">
        <v>2017</v>
      </c>
      <c r="I41" s="10">
        <f t="shared" si="2"/>
        <v>3.2</v>
      </c>
      <c r="J41" s="10">
        <f t="shared" si="3"/>
        <v>3.2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225</v>
      </c>
      <c r="C42" s="2" t="s">
        <v>38</v>
      </c>
      <c r="D42" s="2" t="s">
        <v>64</v>
      </c>
      <c r="E42" s="32">
        <v>2015</v>
      </c>
      <c r="F42" s="8">
        <v>2.55</v>
      </c>
      <c r="G42" s="9">
        <v>2017</v>
      </c>
      <c r="I42" s="10">
        <f t="shared" si="2"/>
        <v>0.8</v>
      </c>
      <c r="J42" s="10">
        <f t="shared" si="3"/>
        <v>0.8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312</v>
      </c>
      <c r="C43" s="2" t="s">
        <v>43</v>
      </c>
      <c r="D43" s="2" t="s">
        <v>57</v>
      </c>
      <c r="E43" s="7">
        <v>2015</v>
      </c>
      <c r="F43" s="12">
        <v>6.25</v>
      </c>
      <c r="G43" s="13">
        <v>2016</v>
      </c>
      <c r="I43" s="10">
        <f t="shared" si="2"/>
        <v>1.9000000000000001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658</v>
      </c>
      <c r="C44" s="30" t="s">
        <v>39</v>
      </c>
      <c r="D44" s="30" t="s">
        <v>64</v>
      </c>
      <c r="E44" s="32">
        <v>2016</v>
      </c>
      <c r="F44" s="12">
        <v>3</v>
      </c>
      <c r="G44" s="13">
        <v>2016</v>
      </c>
      <c r="I44" s="10">
        <f t="shared" si="2"/>
        <v>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158</v>
      </c>
      <c r="C45" s="30" t="s">
        <v>40</v>
      </c>
      <c r="D45" s="30" t="s">
        <v>82</v>
      </c>
      <c r="E45" s="32">
        <v>2015</v>
      </c>
      <c r="F45" s="8">
        <v>2.35</v>
      </c>
      <c r="G45" s="9">
        <v>2016</v>
      </c>
      <c r="I45" s="10">
        <f t="shared" si="2"/>
        <v>0.75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/>
      <c r="D46" s="2"/>
      <c r="E46" s="2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/>
      <c r="D47" s="2"/>
      <c r="E47" s="32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1"/>
      <c r="D48" s="2"/>
      <c r="E48" s="2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D49" s="2"/>
      <c r="E49" s="7"/>
      <c r="F49" s="12"/>
      <c r="G49" s="13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1"/>
      <c r="D50" s="2"/>
      <c r="E50" s="2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31"/>
      <c r="C51" s="30"/>
      <c r="D51" s="30"/>
      <c r="E51" s="32"/>
      <c r="F51" s="12"/>
      <c r="G51" s="13"/>
      <c r="I51" s="10">
        <f aca="true" t="shared" si="7" ref="I51:I56">+CEILING(IF($I$35=E51,F51,IF($I$35&lt;=G51,F51*0.3,0)),0.05)</f>
        <v>0</v>
      </c>
      <c r="J51" s="10">
        <f aca="true" t="shared" si="8" ref="J51:J56">+CEILING(IF($J$35&lt;=G51,F51*0.3,0),0.05)</f>
        <v>0</v>
      </c>
      <c r="K51" s="10">
        <f aca="true" t="shared" si="9" ref="K51:K56">+CEILING(IF($K$35&lt;=G51,F51*0.3,0),0.05)</f>
        <v>0</v>
      </c>
      <c r="L51" s="10">
        <f aca="true" t="shared" si="10" ref="L51:L56">+CEILING(IF($L$35&lt;=G51,F51*0.3,0),0.05)</f>
        <v>0</v>
      </c>
      <c r="M51" s="10">
        <f aca="true" t="shared" si="11" ref="M51:M56">CEILING(IF($M$35&lt;=G51,F51*0.3,0),0.05)</f>
        <v>0</v>
      </c>
    </row>
    <row r="52" spans="1:13" ht="12.75">
      <c r="A52" s="6">
        <v>16</v>
      </c>
      <c r="B52" s="31"/>
      <c r="D52" s="2"/>
      <c r="E52" s="32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B53" s="31"/>
      <c r="D53" s="2"/>
      <c r="E53" s="2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B54" s="31"/>
      <c r="C54" s="30"/>
      <c r="D54" s="30"/>
      <c r="E54" s="32"/>
      <c r="F54" s="12"/>
      <c r="G54" s="13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1"/>
      <c r="C55" s="30"/>
      <c r="D55" s="30"/>
      <c r="E55" s="32"/>
      <c r="F55" s="12"/>
      <c r="G55" s="13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.75">
      <c r="A56" s="6">
        <v>20</v>
      </c>
      <c r="B56" s="31"/>
      <c r="D56" s="2"/>
      <c r="E56" s="32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B57" s="31"/>
      <c r="C57" s="30"/>
      <c r="D57" s="30"/>
      <c r="E57" s="32"/>
      <c r="F57" s="12"/>
      <c r="G57" s="13"/>
      <c r="I57" s="10">
        <f>+CEILING(IF($I$35=E57,F57,IF($I$35&lt;=G57,F57*0.3,0)),0.05)</f>
        <v>0</v>
      </c>
      <c r="J57" s="10">
        <f>+CEILING(IF($J$35&lt;=G57,F57*0.3,0),0.05)</f>
        <v>0</v>
      </c>
      <c r="K57" s="10">
        <f>+CEILING(IF($K$35&lt;=G57,F57*0.3,0),0.05)</f>
        <v>0</v>
      </c>
      <c r="L57" s="10">
        <f>+CEILING(IF($L$35&lt;=G57,F57*0.3,0),0.05)</f>
        <v>0</v>
      </c>
      <c r="M57" s="10">
        <f>CEILING(IF($M$35&lt;=G57,F57*0.3,0),0.05)</f>
        <v>0</v>
      </c>
    </row>
    <row r="58" spans="1:13" ht="12.75">
      <c r="A58" s="6">
        <v>22</v>
      </c>
      <c r="D58" s="2"/>
      <c r="E58" s="7"/>
      <c r="F58" s="8"/>
      <c r="G58" s="9"/>
      <c r="I58" s="10">
        <f>+CEILING(IF($I$35=E58,F58,IF($I$35&lt;=G58,F58*0.3,0)),0.05)</f>
        <v>0</v>
      </c>
      <c r="J58" s="10">
        <f>+CEILING(IF($J$35&lt;=G58,F58*0.3,0),0.05)</f>
        <v>0</v>
      </c>
      <c r="K58" s="10">
        <f>+CEILING(IF($K$35&lt;=G58,F58*0.3,0),0.05)</f>
        <v>0</v>
      </c>
      <c r="L58" s="10">
        <f>+CEILING(IF($L$35&lt;=G58,F58*0.3,0),0.05)</f>
        <v>0</v>
      </c>
      <c r="M58" s="10">
        <f>CEILING(IF($M$35&lt;=G58,F58*0.3,0),0.05)</f>
        <v>0</v>
      </c>
    </row>
    <row r="59" spans="9:13" ht="7.5" customHeight="1">
      <c r="I59" s="14"/>
      <c r="J59" s="14"/>
      <c r="K59" s="14"/>
      <c r="L59" s="14"/>
      <c r="M59" s="14"/>
    </row>
    <row r="60" spans="9:13" ht="12.75">
      <c r="I60" s="15">
        <f>+SUM(I37:I59)</f>
        <v>33.3</v>
      </c>
      <c r="J60" s="15">
        <f>+SUM(J37:J59)</f>
        <v>14.25</v>
      </c>
      <c r="K60" s="15">
        <f>+SUM(K37:K59)</f>
        <v>10.25</v>
      </c>
      <c r="L60" s="15">
        <f>+SUM(L37:L59)</f>
        <v>3.6</v>
      </c>
      <c r="M60" s="15">
        <f>+SUM(M37:M59)</f>
        <v>0</v>
      </c>
    </row>
    <row r="61" spans="9:13" ht="12.75">
      <c r="I61" s="16"/>
      <c r="J61" s="16"/>
      <c r="K61" s="16"/>
      <c r="L61" s="16"/>
      <c r="M61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555</v>
      </c>
      <c r="C5" s="2" t="s">
        <v>40</v>
      </c>
      <c r="D5" s="2" t="s">
        <v>70</v>
      </c>
      <c r="E5" s="7" t="s">
        <v>515</v>
      </c>
      <c r="F5" s="8">
        <v>3</v>
      </c>
      <c r="G5" s="9">
        <v>2020</v>
      </c>
      <c r="I5" s="10">
        <f aca="true" t="shared" si="0" ref="I5:M15">+IF($G5&gt;=I$3,$F5,0)</f>
        <v>3</v>
      </c>
      <c r="J5" s="10">
        <f t="shared" si="0"/>
        <v>3</v>
      </c>
      <c r="K5" s="10">
        <f t="shared" si="0"/>
        <v>3</v>
      </c>
      <c r="L5" s="10">
        <f t="shared" si="0"/>
        <v>3</v>
      </c>
      <c r="M5" s="10">
        <f t="shared" si="0"/>
        <v>3</v>
      </c>
    </row>
    <row r="6" spans="1:13" ht="12.75">
      <c r="A6" s="6">
        <v>2</v>
      </c>
      <c r="B6" s="1" t="s">
        <v>390</v>
      </c>
      <c r="C6" s="2" t="s">
        <v>40</v>
      </c>
      <c r="D6" s="2" t="s">
        <v>62</v>
      </c>
      <c r="E6" s="7" t="s">
        <v>386</v>
      </c>
      <c r="F6" s="8">
        <v>20.3</v>
      </c>
      <c r="G6" s="9">
        <v>2019</v>
      </c>
      <c r="I6" s="10">
        <f t="shared" si="0"/>
        <v>20.3</v>
      </c>
      <c r="J6" s="10">
        <f t="shared" si="0"/>
        <v>20.3</v>
      </c>
      <c r="K6" s="10">
        <f t="shared" si="0"/>
        <v>20.3</v>
      </c>
      <c r="L6" s="10">
        <f t="shared" si="0"/>
        <v>20.3</v>
      </c>
      <c r="M6" s="10">
        <f t="shared" si="0"/>
        <v>0</v>
      </c>
    </row>
    <row r="7" spans="1:13" ht="12.75">
      <c r="A7" s="6">
        <v>3</v>
      </c>
      <c r="B7" s="1" t="s">
        <v>610</v>
      </c>
      <c r="C7" s="2" t="s">
        <v>38</v>
      </c>
      <c r="D7" s="2" t="s">
        <v>58</v>
      </c>
      <c r="E7" s="2" t="s">
        <v>557</v>
      </c>
      <c r="F7" s="12">
        <v>11.4</v>
      </c>
      <c r="G7" s="13">
        <v>2019</v>
      </c>
      <c r="I7" s="10">
        <f t="shared" si="0"/>
        <v>11.4</v>
      </c>
      <c r="J7" s="10">
        <f t="shared" si="0"/>
        <v>11.4</v>
      </c>
      <c r="K7" s="10">
        <f t="shared" si="0"/>
        <v>11.4</v>
      </c>
      <c r="L7" s="10">
        <f t="shared" si="0"/>
        <v>11.4</v>
      </c>
      <c r="M7" s="10">
        <f t="shared" si="0"/>
        <v>0</v>
      </c>
    </row>
    <row r="8" spans="1:13" ht="12.75">
      <c r="A8" s="6">
        <v>4</v>
      </c>
      <c r="B8" s="31" t="s">
        <v>455</v>
      </c>
      <c r="C8" s="2" t="s">
        <v>43</v>
      </c>
      <c r="D8" s="2" t="s">
        <v>80</v>
      </c>
      <c r="E8" s="7" t="s">
        <v>427</v>
      </c>
      <c r="F8" s="8">
        <v>7.45</v>
      </c>
      <c r="G8" s="13">
        <v>2019</v>
      </c>
      <c r="I8" s="10">
        <f t="shared" si="0"/>
        <v>7.45</v>
      </c>
      <c r="J8" s="10">
        <f t="shared" si="0"/>
        <v>7.45</v>
      </c>
      <c r="K8" s="10">
        <f t="shared" si="0"/>
        <v>7.45</v>
      </c>
      <c r="L8" s="10">
        <f t="shared" si="0"/>
        <v>7.45</v>
      </c>
      <c r="M8" s="10">
        <f t="shared" si="0"/>
        <v>0</v>
      </c>
    </row>
    <row r="9" spans="1:13" ht="12.75">
      <c r="A9" s="6">
        <v>5</v>
      </c>
      <c r="B9" s="31" t="s">
        <v>498</v>
      </c>
      <c r="C9" s="2" t="s">
        <v>39</v>
      </c>
      <c r="D9" s="2" t="s">
        <v>89</v>
      </c>
      <c r="E9" s="7" t="s">
        <v>427</v>
      </c>
      <c r="F9" s="12">
        <v>6.4</v>
      </c>
      <c r="G9" s="13">
        <v>2019</v>
      </c>
      <c r="I9" s="10">
        <f t="shared" si="0"/>
        <v>6.4</v>
      </c>
      <c r="J9" s="10">
        <f t="shared" si="0"/>
        <v>6.4</v>
      </c>
      <c r="K9" s="10">
        <f t="shared" si="0"/>
        <v>6.4</v>
      </c>
      <c r="L9" s="10">
        <f t="shared" si="0"/>
        <v>6.4</v>
      </c>
      <c r="M9" s="10">
        <f t="shared" si="0"/>
        <v>0</v>
      </c>
    </row>
    <row r="10" spans="1:13" ht="12.75">
      <c r="A10" s="6">
        <v>6</v>
      </c>
      <c r="B10" s="1" t="s">
        <v>486</v>
      </c>
      <c r="C10" s="2" t="s">
        <v>44</v>
      </c>
      <c r="D10" s="2" t="s">
        <v>69</v>
      </c>
      <c r="E10" s="2" t="s">
        <v>427</v>
      </c>
      <c r="F10" s="8">
        <v>3.15</v>
      </c>
      <c r="G10" s="9">
        <v>2019</v>
      </c>
      <c r="I10" s="10">
        <f t="shared" si="0"/>
        <v>3.15</v>
      </c>
      <c r="J10" s="10">
        <f t="shared" si="0"/>
        <v>3.15</v>
      </c>
      <c r="K10" s="10">
        <f t="shared" si="0"/>
        <v>3.15</v>
      </c>
      <c r="L10" s="10">
        <f t="shared" si="0"/>
        <v>3.15</v>
      </c>
      <c r="M10" s="10">
        <f t="shared" si="0"/>
        <v>0</v>
      </c>
    </row>
    <row r="11" spans="1:13" ht="12.75">
      <c r="A11" s="6">
        <v>7</v>
      </c>
      <c r="B11" s="1" t="s">
        <v>594</v>
      </c>
      <c r="C11" s="2" t="s">
        <v>41</v>
      </c>
      <c r="D11" s="2" t="s">
        <v>88</v>
      </c>
      <c r="E11" s="2" t="s">
        <v>557</v>
      </c>
      <c r="F11" s="12">
        <v>19.75</v>
      </c>
      <c r="G11" s="13">
        <v>2018</v>
      </c>
      <c r="I11" s="10">
        <f t="shared" si="0"/>
        <v>19.75</v>
      </c>
      <c r="J11" s="10">
        <f t="shared" si="0"/>
        <v>19.75</v>
      </c>
      <c r="K11" s="10">
        <f t="shared" si="0"/>
        <v>19.75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685</v>
      </c>
      <c r="C12" s="30" t="s">
        <v>39</v>
      </c>
      <c r="D12" s="30" t="s">
        <v>87</v>
      </c>
      <c r="E12" s="32" t="s">
        <v>557</v>
      </c>
      <c r="F12" s="8">
        <v>13.25</v>
      </c>
      <c r="G12" s="9">
        <v>2018</v>
      </c>
      <c r="I12" s="10">
        <f t="shared" si="0"/>
        <v>13.25</v>
      </c>
      <c r="J12" s="10">
        <f t="shared" si="0"/>
        <v>13.25</v>
      </c>
      <c r="K12" s="10">
        <f t="shared" si="0"/>
        <v>13.25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" t="s">
        <v>326</v>
      </c>
      <c r="C13" s="2" t="s">
        <v>43</v>
      </c>
      <c r="D13" s="2" t="s">
        <v>84</v>
      </c>
      <c r="E13" s="7" t="s">
        <v>372</v>
      </c>
      <c r="F13" s="8">
        <v>6.1</v>
      </c>
      <c r="G13" s="9">
        <v>2018</v>
      </c>
      <c r="I13" s="10">
        <f t="shared" si="0"/>
        <v>6.1</v>
      </c>
      <c r="J13" s="10">
        <f t="shared" si="0"/>
        <v>6.1</v>
      </c>
      <c r="K13" s="10">
        <f t="shared" si="0"/>
        <v>6.1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612</v>
      </c>
      <c r="C14" s="2" t="s">
        <v>39</v>
      </c>
      <c r="D14" s="2" t="s">
        <v>63</v>
      </c>
      <c r="E14" s="7" t="s">
        <v>557</v>
      </c>
      <c r="F14" s="8">
        <v>6</v>
      </c>
      <c r="G14" s="9">
        <v>2018</v>
      </c>
      <c r="I14" s="10">
        <f t="shared" si="0"/>
        <v>6</v>
      </c>
      <c r="J14" s="10">
        <f t="shared" si="0"/>
        <v>6</v>
      </c>
      <c r="K14" s="10">
        <f t="shared" si="0"/>
        <v>6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296</v>
      </c>
      <c r="C15" s="2" t="s">
        <v>38</v>
      </c>
      <c r="D15" s="2" t="s">
        <v>66</v>
      </c>
      <c r="E15" s="7" t="s">
        <v>371</v>
      </c>
      <c r="F15" s="8">
        <v>4.8</v>
      </c>
      <c r="G15" s="9">
        <v>2018</v>
      </c>
      <c r="I15" s="10">
        <f t="shared" si="0"/>
        <v>4.8</v>
      </c>
      <c r="J15" s="10">
        <f t="shared" si="0"/>
        <v>4.8</v>
      </c>
      <c r="K15" s="10">
        <f t="shared" si="0"/>
        <v>4.8</v>
      </c>
      <c r="L15" s="10">
        <f t="shared" si="0"/>
        <v>0</v>
      </c>
      <c r="M15" s="10">
        <f t="shared" si="0"/>
        <v>0</v>
      </c>
    </row>
    <row r="16" spans="1:13" ht="12.75">
      <c r="A16" s="6">
        <v>12</v>
      </c>
      <c r="B16" s="20" t="s">
        <v>263</v>
      </c>
      <c r="C16" s="2" t="s">
        <v>42</v>
      </c>
      <c r="D16" s="2" t="s">
        <v>69</v>
      </c>
      <c r="E16" s="7" t="s">
        <v>56</v>
      </c>
      <c r="F16" s="8">
        <v>2.8</v>
      </c>
      <c r="G16" s="9">
        <v>2017</v>
      </c>
      <c r="I16" s="10">
        <f aca="true" t="shared" si="1" ref="I16:M29">+IF($G16&gt;=I$3,$F16,0)</f>
        <v>2.8</v>
      </c>
      <c r="J16" s="10">
        <f t="shared" si="1"/>
        <v>2.8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193</v>
      </c>
      <c r="C17" s="30" t="s">
        <v>40</v>
      </c>
      <c r="D17" s="30" t="s">
        <v>76</v>
      </c>
      <c r="E17" s="2" t="s">
        <v>56</v>
      </c>
      <c r="F17" s="8">
        <v>2.55</v>
      </c>
      <c r="G17" s="9">
        <v>2017</v>
      </c>
      <c r="I17" s="10">
        <f t="shared" si="1"/>
        <v>2.55</v>
      </c>
      <c r="J17" s="10">
        <f t="shared" si="1"/>
        <v>2.55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265</v>
      </c>
      <c r="C18" s="2" t="s">
        <v>43</v>
      </c>
      <c r="D18" s="2" t="s">
        <v>70</v>
      </c>
      <c r="E18" s="7" t="s">
        <v>56</v>
      </c>
      <c r="F18" s="8">
        <v>2.55</v>
      </c>
      <c r="G18" s="9">
        <v>2017</v>
      </c>
      <c r="I18" s="10">
        <f t="shared" si="1"/>
        <v>2.55</v>
      </c>
      <c r="J18" s="10">
        <f t="shared" si="1"/>
        <v>2.55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428</v>
      </c>
      <c r="C19" s="2" t="s">
        <v>40</v>
      </c>
      <c r="D19" s="2" t="s">
        <v>64</v>
      </c>
      <c r="E19" s="7" t="s">
        <v>557</v>
      </c>
      <c r="F19" s="8">
        <v>84.1</v>
      </c>
      <c r="G19" s="9">
        <v>2016</v>
      </c>
      <c r="I19" s="10">
        <f t="shared" si="1"/>
        <v>84.1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611</v>
      </c>
      <c r="C20" s="2" t="s">
        <v>39</v>
      </c>
      <c r="D20" s="2" t="s">
        <v>78</v>
      </c>
      <c r="E20" s="7" t="s">
        <v>557</v>
      </c>
      <c r="F20" s="8">
        <v>34.25</v>
      </c>
      <c r="G20" s="9">
        <v>2016</v>
      </c>
      <c r="I20" s="10">
        <f t="shared" si="1"/>
        <v>34.25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466</v>
      </c>
      <c r="C21" s="2" t="s">
        <v>40</v>
      </c>
      <c r="D21" s="2" t="s">
        <v>70</v>
      </c>
      <c r="E21" s="7" t="s">
        <v>427</v>
      </c>
      <c r="F21" s="8">
        <v>25</v>
      </c>
      <c r="G21" s="9">
        <v>2016</v>
      </c>
      <c r="I21" s="10">
        <f t="shared" si="1"/>
        <v>25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622</v>
      </c>
      <c r="C22" s="2" t="s">
        <v>39</v>
      </c>
      <c r="D22" s="2" t="s">
        <v>64</v>
      </c>
      <c r="E22" s="7" t="s">
        <v>557</v>
      </c>
      <c r="F22" s="8">
        <v>18.5</v>
      </c>
      <c r="G22" s="9">
        <v>2016</v>
      </c>
      <c r="I22" s="10">
        <f t="shared" si="1"/>
        <v>18.5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621</v>
      </c>
      <c r="C23" s="2" t="s">
        <v>39</v>
      </c>
      <c r="D23" s="30" t="s">
        <v>83</v>
      </c>
      <c r="E23" s="7" t="s">
        <v>557</v>
      </c>
      <c r="F23" s="12">
        <v>14.75</v>
      </c>
      <c r="G23" s="13">
        <v>2016</v>
      </c>
      <c r="I23" s="10">
        <f t="shared" si="1"/>
        <v>14.75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141</v>
      </c>
      <c r="C24" s="2" t="s">
        <v>43</v>
      </c>
      <c r="D24" s="2" t="s">
        <v>114</v>
      </c>
      <c r="E24" s="2" t="s">
        <v>427</v>
      </c>
      <c r="F24" s="8">
        <v>8.4</v>
      </c>
      <c r="G24" s="9">
        <v>2016</v>
      </c>
      <c r="I24" s="10">
        <f t="shared" si="1"/>
        <v>8.4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164</v>
      </c>
      <c r="C25" s="2" t="s">
        <v>43</v>
      </c>
      <c r="D25" s="2" t="s">
        <v>76</v>
      </c>
      <c r="E25" s="2" t="s">
        <v>427</v>
      </c>
      <c r="F25" s="8">
        <v>7.8</v>
      </c>
      <c r="G25" s="9">
        <v>2016</v>
      </c>
      <c r="I25" s="10">
        <f t="shared" si="1"/>
        <v>7.8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647</v>
      </c>
      <c r="C26" s="2" t="s">
        <v>43</v>
      </c>
      <c r="D26" s="2" t="s">
        <v>88</v>
      </c>
      <c r="E26" s="2" t="s">
        <v>557</v>
      </c>
      <c r="F26" s="12">
        <v>7.55</v>
      </c>
      <c r="G26" s="13">
        <v>2016</v>
      </c>
      <c r="I26" s="10">
        <f t="shared" si="1"/>
        <v>7.55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147</v>
      </c>
      <c r="C27" s="2" t="s">
        <v>44</v>
      </c>
      <c r="D27" s="2" t="s">
        <v>89</v>
      </c>
      <c r="E27" s="7" t="s">
        <v>56</v>
      </c>
      <c r="F27" s="8">
        <v>6.75</v>
      </c>
      <c r="G27" s="9">
        <v>2016</v>
      </c>
      <c r="I27" s="10">
        <f t="shared" si="1"/>
        <v>6.75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741</v>
      </c>
      <c r="C28" s="2" t="s">
        <v>44</v>
      </c>
      <c r="D28" s="2" t="s">
        <v>67</v>
      </c>
      <c r="E28" s="32" t="s">
        <v>691</v>
      </c>
      <c r="F28" s="8">
        <v>3</v>
      </c>
      <c r="G28" s="9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" t="s">
        <v>353</v>
      </c>
      <c r="C29" s="2" t="s">
        <v>39</v>
      </c>
      <c r="D29" s="2" t="s">
        <v>85</v>
      </c>
      <c r="E29" s="7" t="s">
        <v>691</v>
      </c>
      <c r="F29" s="8">
        <v>3</v>
      </c>
      <c r="G29" s="9">
        <v>2016</v>
      </c>
      <c r="I29" s="10">
        <f t="shared" si="1"/>
        <v>3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1"/>
      <c r="D31" s="2"/>
      <c r="E31" s="7"/>
      <c r="F31" s="8"/>
      <c r="G31" s="9"/>
      <c r="I31" s="15">
        <f>+SUM(I5:I29)</f>
        <v>322.59999999999997</v>
      </c>
      <c r="J31" s="15">
        <f>+SUM(J5:J29)</f>
        <v>109.49999999999999</v>
      </c>
      <c r="K31" s="15">
        <f>+SUM(K5:K29)</f>
        <v>101.6</v>
      </c>
      <c r="L31" s="15">
        <f>+SUM(L5:L29)</f>
        <v>51.7</v>
      </c>
      <c r="M31" s="15">
        <f>+SUM(M5:M29)</f>
        <v>3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348</v>
      </c>
      <c r="C37" s="30" t="s">
        <v>40</v>
      </c>
      <c r="D37" s="30" t="s">
        <v>89</v>
      </c>
      <c r="E37" s="2">
        <v>2015</v>
      </c>
      <c r="F37" s="8">
        <v>9.2</v>
      </c>
      <c r="G37" s="9">
        <v>2019</v>
      </c>
      <c r="I37" s="10">
        <f aca="true" t="shared" si="2" ref="I37:I50">+CEILING(IF($I$35=E37,F37,IF($I$35&lt;=G37,F37*0.3,0)),0.05)</f>
        <v>2.8000000000000003</v>
      </c>
      <c r="J37" s="10">
        <f aca="true" t="shared" si="3" ref="J37:J50">+CEILING(IF($J$35&lt;=G37,F37*0.3,0),0.05)</f>
        <v>2.8000000000000003</v>
      </c>
      <c r="K37" s="10">
        <f aca="true" t="shared" si="4" ref="K37:K50">+CEILING(IF($K$35&lt;=G37,F37*0.3,0),0.05)</f>
        <v>2.8000000000000003</v>
      </c>
      <c r="L37" s="10">
        <f aca="true" t="shared" si="5" ref="L37:L50">+CEILING(IF($L$35&lt;=G37,F37*0.3,0),0.05)</f>
        <v>2.8000000000000003</v>
      </c>
      <c r="M37" s="10">
        <f aca="true" t="shared" si="6" ref="M37:M50">CEILING(IF($M$35&lt;=G37,F37*0.3,0),0.05)</f>
        <v>0</v>
      </c>
    </row>
    <row r="38" spans="1:13" ht="12.75">
      <c r="A38" s="6">
        <v>2</v>
      </c>
      <c r="B38" s="1" t="s">
        <v>229</v>
      </c>
      <c r="C38" s="2" t="s">
        <v>42</v>
      </c>
      <c r="D38" s="2" t="s">
        <v>85</v>
      </c>
      <c r="E38" s="32">
        <v>2016</v>
      </c>
      <c r="F38" s="8">
        <v>7.5</v>
      </c>
      <c r="G38" s="9">
        <v>2017</v>
      </c>
      <c r="I38" s="10">
        <f t="shared" si="2"/>
        <v>7.5</v>
      </c>
      <c r="J38" s="10">
        <f t="shared" si="3"/>
        <v>2.25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120</v>
      </c>
      <c r="C39" s="30" t="s">
        <v>43</v>
      </c>
      <c r="D39" s="30" t="s">
        <v>86</v>
      </c>
      <c r="E39" s="32">
        <v>2014</v>
      </c>
      <c r="F39" s="8">
        <v>15.2</v>
      </c>
      <c r="G39" s="9">
        <v>2016</v>
      </c>
      <c r="I39" s="10">
        <f t="shared" si="2"/>
        <v>4.6000000000000005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178</v>
      </c>
      <c r="C40" s="2" t="s">
        <v>43</v>
      </c>
      <c r="D40" s="2" t="s">
        <v>85</v>
      </c>
      <c r="E40" s="2">
        <v>2014</v>
      </c>
      <c r="F40" s="8">
        <v>2.35</v>
      </c>
      <c r="G40" s="9">
        <v>2016</v>
      </c>
      <c r="I40" s="10">
        <f t="shared" si="2"/>
        <v>0.75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183</v>
      </c>
      <c r="C41" s="2" t="s">
        <v>44</v>
      </c>
      <c r="D41" s="2" t="s">
        <v>72</v>
      </c>
      <c r="E41" s="2">
        <v>2014</v>
      </c>
      <c r="F41" s="12">
        <v>2.35</v>
      </c>
      <c r="G41" s="13">
        <v>2016</v>
      </c>
      <c r="I41" s="10">
        <f t="shared" si="2"/>
        <v>0.75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D42" s="2"/>
      <c r="E42" s="7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D43" s="2"/>
      <c r="E43" s="2"/>
      <c r="F43" s="12"/>
      <c r="G43" s="13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4"/>
      <c r="D44" s="2"/>
      <c r="E44" s="7"/>
      <c r="F44" s="8"/>
      <c r="G44" s="9"/>
      <c r="I44" s="10">
        <f>+CEILING(IF($I$35=E44,F44,IF($I$35&lt;=G44,F44*0.3,0)),0.05)</f>
        <v>0</v>
      </c>
      <c r="J44" s="10">
        <f>+CEILING(IF($J$35&lt;=G44,F44*0.3,0),0.05)</f>
        <v>0</v>
      </c>
      <c r="K44" s="10">
        <f>+CEILING(IF($K$35&lt;=G44,F44*0.3,0),0.05)</f>
        <v>0</v>
      </c>
      <c r="L44" s="10">
        <f>+CEILING(IF($L$35&lt;=G44,F44*0.3,0),0.05)</f>
        <v>0</v>
      </c>
      <c r="M44" s="10">
        <f>CEILING(IF($M$35&lt;=G44,F44*0.3,0),0.05)</f>
        <v>0</v>
      </c>
    </row>
    <row r="45" spans="1:13" ht="12.75">
      <c r="A45" s="6">
        <v>9</v>
      </c>
      <c r="D45" s="2"/>
      <c r="E45" s="7"/>
      <c r="F45" s="12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12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7"/>
      <c r="F48" s="12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14"/>
      <c r="D49" s="2"/>
      <c r="E49" s="7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4"/>
      <c r="D50" s="2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9:13" ht="7.5" customHeight="1">
      <c r="I51" s="14"/>
      <c r="J51" s="14"/>
      <c r="K51" s="14"/>
      <c r="L51" s="14"/>
      <c r="M51" s="14"/>
    </row>
    <row r="52" spans="9:13" ht="12.75">
      <c r="I52" s="15">
        <f>+SUM(I37:I51)</f>
        <v>16.400000000000002</v>
      </c>
      <c r="J52" s="15">
        <f>+SUM(J37:J51)</f>
        <v>5.050000000000001</v>
      </c>
      <c r="K52" s="15">
        <f>+SUM(K37:K51)</f>
        <v>2.8000000000000003</v>
      </c>
      <c r="L52" s="15">
        <f>+SUM(L37:L51)</f>
        <v>2.8000000000000003</v>
      </c>
      <c r="M52" s="15">
        <f>+SUM(M37:M51)</f>
        <v>0</v>
      </c>
    </row>
    <row r="53" spans="9:13" ht="12.75">
      <c r="I53" s="16"/>
      <c r="J53" s="16"/>
      <c r="K53" s="16"/>
      <c r="L53" s="16"/>
      <c r="M5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618</v>
      </c>
      <c r="C5" s="30" t="s">
        <v>40</v>
      </c>
      <c r="D5" s="30" t="s">
        <v>85</v>
      </c>
      <c r="E5" s="7" t="s">
        <v>557</v>
      </c>
      <c r="F5" s="8">
        <v>23.25</v>
      </c>
      <c r="G5" s="9">
        <v>2020</v>
      </c>
      <c r="I5" s="10">
        <f aca="true" t="shared" si="0" ref="I5:M14">+IF($G5&gt;=I$3,$F5,0)</f>
        <v>23.25</v>
      </c>
      <c r="J5" s="10">
        <f t="shared" si="0"/>
        <v>23.25</v>
      </c>
      <c r="K5" s="10">
        <f t="shared" si="0"/>
        <v>23.25</v>
      </c>
      <c r="L5" s="10">
        <f t="shared" si="0"/>
        <v>23.25</v>
      </c>
      <c r="M5" s="10">
        <f t="shared" si="0"/>
        <v>23.25</v>
      </c>
    </row>
    <row r="6" spans="1:13" ht="12.75">
      <c r="A6" s="6">
        <v>2</v>
      </c>
      <c r="B6" s="1" t="s">
        <v>520</v>
      </c>
      <c r="C6" s="2" t="s">
        <v>40</v>
      </c>
      <c r="D6" s="2" t="s">
        <v>85</v>
      </c>
      <c r="E6" s="32" t="s">
        <v>515</v>
      </c>
      <c r="F6" s="12">
        <v>16.5</v>
      </c>
      <c r="G6" s="13">
        <v>2020</v>
      </c>
      <c r="I6" s="10">
        <f t="shared" si="0"/>
        <v>16.5</v>
      </c>
      <c r="J6" s="10">
        <f t="shared" si="0"/>
        <v>16.5</v>
      </c>
      <c r="K6" s="10">
        <f t="shared" si="0"/>
        <v>16.5</v>
      </c>
      <c r="L6" s="10">
        <f t="shared" si="0"/>
        <v>16.5</v>
      </c>
      <c r="M6" s="10">
        <f t="shared" si="0"/>
        <v>16.5</v>
      </c>
    </row>
    <row r="7" spans="1:13" ht="12.75">
      <c r="A7" s="6">
        <v>3</v>
      </c>
      <c r="B7" s="31" t="s">
        <v>522</v>
      </c>
      <c r="C7" s="30" t="s">
        <v>40</v>
      </c>
      <c r="D7" s="30" t="s">
        <v>63</v>
      </c>
      <c r="E7" s="7" t="s">
        <v>515</v>
      </c>
      <c r="F7" s="8">
        <v>13.5</v>
      </c>
      <c r="G7" s="9">
        <v>2020</v>
      </c>
      <c r="I7" s="10">
        <f t="shared" si="0"/>
        <v>13.5</v>
      </c>
      <c r="J7" s="10">
        <f t="shared" si="0"/>
        <v>13.5</v>
      </c>
      <c r="K7" s="10">
        <f t="shared" si="0"/>
        <v>13.5</v>
      </c>
      <c r="L7" s="10">
        <f t="shared" si="0"/>
        <v>13.5</v>
      </c>
      <c r="M7" s="10">
        <f t="shared" si="0"/>
        <v>13.5</v>
      </c>
    </row>
    <row r="8" spans="1:13" ht="12.75">
      <c r="A8" s="6">
        <v>4</v>
      </c>
      <c r="B8" s="1" t="s">
        <v>626</v>
      </c>
      <c r="C8" s="2" t="s">
        <v>41</v>
      </c>
      <c r="D8" s="2" t="s">
        <v>85</v>
      </c>
      <c r="E8" s="32" t="s">
        <v>557</v>
      </c>
      <c r="F8" s="12">
        <v>11.25</v>
      </c>
      <c r="G8" s="13">
        <v>2020</v>
      </c>
      <c r="I8" s="10">
        <f t="shared" si="0"/>
        <v>11.25</v>
      </c>
      <c r="J8" s="10">
        <f t="shared" si="0"/>
        <v>11.25</v>
      </c>
      <c r="K8" s="10">
        <f t="shared" si="0"/>
        <v>11.25</v>
      </c>
      <c r="L8" s="10">
        <f t="shared" si="0"/>
        <v>11.25</v>
      </c>
      <c r="M8" s="10">
        <f t="shared" si="0"/>
        <v>11.25</v>
      </c>
    </row>
    <row r="9" spans="1:13" ht="12.75">
      <c r="A9" s="6">
        <v>5</v>
      </c>
      <c r="B9" s="31" t="s">
        <v>688</v>
      </c>
      <c r="C9" s="2" t="s">
        <v>40</v>
      </c>
      <c r="D9" s="2" t="s">
        <v>88</v>
      </c>
      <c r="E9" s="7" t="s">
        <v>557</v>
      </c>
      <c r="F9" s="12">
        <v>8</v>
      </c>
      <c r="G9" s="13">
        <v>2020</v>
      </c>
      <c r="I9" s="10">
        <f t="shared" si="0"/>
        <v>8</v>
      </c>
      <c r="J9" s="10">
        <f t="shared" si="0"/>
        <v>8</v>
      </c>
      <c r="K9" s="10">
        <f t="shared" si="0"/>
        <v>8</v>
      </c>
      <c r="L9" s="10">
        <f t="shared" si="0"/>
        <v>8</v>
      </c>
      <c r="M9" s="10">
        <f t="shared" si="0"/>
        <v>8</v>
      </c>
    </row>
    <row r="10" spans="1:13" ht="12.75">
      <c r="A10" s="6">
        <v>6</v>
      </c>
      <c r="B10" s="31" t="s">
        <v>533</v>
      </c>
      <c r="C10" s="2" t="s">
        <v>38</v>
      </c>
      <c r="D10" s="30" t="s">
        <v>60</v>
      </c>
      <c r="E10" s="7" t="s">
        <v>515</v>
      </c>
      <c r="F10" s="8">
        <v>4.5</v>
      </c>
      <c r="G10" s="9">
        <v>2020</v>
      </c>
      <c r="I10" s="10">
        <f t="shared" si="0"/>
        <v>4.5</v>
      </c>
      <c r="J10" s="10">
        <f t="shared" si="0"/>
        <v>4.5</v>
      </c>
      <c r="K10" s="10">
        <f t="shared" si="0"/>
        <v>4.5</v>
      </c>
      <c r="L10" s="10">
        <f t="shared" si="0"/>
        <v>4.5</v>
      </c>
      <c r="M10" s="10">
        <f t="shared" si="0"/>
        <v>4.5</v>
      </c>
    </row>
    <row r="11" spans="1:13" ht="12.75">
      <c r="A11" s="6">
        <v>7</v>
      </c>
      <c r="B11" s="33" t="s">
        <v>534</v>
      </c>
      <c r="C11" s="2" t="s">
        <v>39</v>
      </c>
      <c r="D11" s="2" t="s">
        <v>60</v>
      </c>
      <c r="E11" s="7" t="s">
        <v>515</v>
      </c>
      <c r="F11" s="12">
        <v>3</v>
      </c>
      <c r="G11" s="13">
        <v>2020</v>
      </c>
      <c r="I11" s="10">
        <f t="shared" si="0"/>
        <v>3</v>
      </c>
      <c r="J11" s="10">
        <f t="shared" si="0"/>
        <v>3</v>
      </c>
      <c r="K11" s="10">
        <f t="shared" si="0"/>
        <v>3</v>
      </c>
      <c r="L11" s="10">
        <f t="shared" si="0"/>
        <v>3</v>
      </c>
      <c r="M11" s="10">
        <f t="shared" si="0"/>
        <v>3</v>
      </c>
    </row>
    <row r="12" spans="1:13" ht="12.75">
      <c r="A12" s="6">
        <v>8</v>
      </c>
      <c r="B12" s="31" t="s">
        <v>669</v>
      </c>
      <c r="C12" s="30" t="s">
        <v>39</v>
      </c>
      <c r="D12" s="30" t="s">
        <v>72</v>
      </c>
      <c r="E12" s="30" t="s">
        <v>557</v>
      </c>
      <c r="F12" s="8">
        <v>3</v>
      </c>
      <c r="G12" s="9">
        <v>2020</v>
      </c>
      <c r="I12" s="10">
        <f t="shared" si="0"/>
        <v>3</v>
      </c>
      <c r="J12" s="10">
        <f t="shared" si="0"/>
        <v>3</v>
      </c>
      <c r="K12" s="10">
        <f t="shared" si="0"/>
        <v>3</v>
      </c>
      <c r="L12" s="10">
        <f t="shared" si="0"/>
        <v>3</v>
      </c>
      <c r="M12" s="10">
        <f t="shared" si="0"/>
        <v>3</v>
      </c>
    </row>
    <row r="13" spans="1:13" ht="12.75">
      <c r="A13" s="6">
        <v>9</v>
      </c>
      <c r="B13" s="31" t="s">
        <v>437</v>
      </c>
      <c r="C13" s="2" t="s">
        <v>39</v>
      </c>
      <c r="D13" s="2" t="s">
        <v>60</v>
      </c>
      <c r="E13" s="30" t="s">
        <v>427</v>
      </c>
      <c r="F13" s="12">
        <v>22.2</v>
      </c>
      <c r="G13" s="13">
        <v>2019</v>
      </c>
      <c r="I13" s="10">
        <f t="shared" si="0"/>
        <v>22.2</v>
      </c>
      <c r="J13" s="10">
        <f t="shared" si="0"/>
        <v>22.2</v>
      </c>
      <c r="K13" s="10">
        <f t="shared" si="0"/>
        <v>22.2</v>
      </c>
      <c r="L13" s="10">
        <f t="shared" si="0"/>
        <v>22.2</v>
      </c>
      <c r="M13" s="10">
        <f t="shared" si="0"/>
        <v>0</v>
      </c>
    </row>
    <row r="14" spans="1:13" ht="12.75">
      <c r="A14" s="6">
        <v>10</v>
      </c>
      <c r="B14" s="31" t="s">
        <v>620</v>
      </c>
      <c r="C14" s="2" t="s">
        <v>43</v>
      </c>
      <c r="D14" s="2" t="s">
        <v>67</v>
      </c>
      <c r="E14" s="7" t="s">
        <v>557</v>
      </c>
      <c r="F14" s="8">
        <v>12.3</v>
      </c>
      <c r="G14" s="9">
        <v>2019</v>
      </c>
      <c r="I14" s="10">
        <f t="shared" si="0"/>
        <v>12.3</v>
      </c>
      <c r="J14" s="10">
        <f t="shared" si="0"/>
        <v>12.3</v>
      </c>
      <c r="K14" s="10">
        <f t="shared" si="0"/>
        <v>12.3</v>
      </c>
      <c r="L14" s="10">
        <f t="shared" si="0"/>
        <v>12.3</v>
      </c>
      <c r="M14" s="10">
        <f t="shared" si="0"/>
        <v>0</v>
      </c>
    </row>
    <row r="15" spans="1:13" ht="12.75">
      <c r="A15" s="6">
        <v>11</v>
      </c>
      <c r="B15" s="31" t="s">
        <v>405</v>
      </c>
      <c r="C15" s="2" t="s">
        <v>40</v>
      </c>
      <c r="D15" s="30" t="s">
        <v>79</v>
      </c>
      <c r="E15" s="7" t="s">
        <v>386</v>
      </c>
      <c r="F15" s="8">
        <v>7.25</v>
      </c>
      <c r="G15" s="9">
        <v>2019</v>
      </c>
      <c r="I15" s="10">
        <f aca="true" t="shared" si="1" ref="I15:M29">+IF($G15&gt;=I$3,$F15,0)</f>
        <v>7.25</v>
      </c>
      <c r="J15" s="10">
        <f t="shared" si="1"/>
        <v>7.25</v>
      </c>
      <c r="K15" s="10">
        <f t="shared" si="1"/>
        <v>7.25</v>
      </c>
      <c r="L15" s="10">
        <f t="shared" si="1"/>
        <v>7.25</v>
      </c>
      <c r="M15" s="10">
        <f t="shared" si="1"/>
        <v>0</v>
      </c>
    </row>
    <row r="16" spans="1:13" ht="12.75">
      <c r="A16" s="6">
        <v>12</v>
      </c>
      <c r="B16" s="33" t="s">
        <v>404</v>
      </c>
      <c r="C16" s="2" t="s">
        <v>39</v>
      </c>
      <c r="D16" s="2" t="s">
        <v>81</v>
      </c>
      <c r="E16" s="7" t="s">
        <v>386</v>
      </c>
      <c r="F16" s="12">
        <v>2.9</v>
      </c>
      <c r="G16" s="13">
        <v>2019</v>
      </c>
      <c r="I16" s="10">
        <f t="shared" si="1"/>
        <v>2.9</v>
      </c>
      <c r="J16" s="10">
        <f t="shared" si="1"/>
        <v>2.9</v>
      </c>
      <c r="K16" s="10">
        <f t="shared" si="1"/>
        <v>2.9</v>
      </c>
      <c r="L16" s="10">
        <f t="shared" si="1"/>
        <v>2.9</v>
      </c>
      <c r="M16" s="10">
        <f t="shared" si="1"/>
        <v>0</v>
      </c>
    </row>
    <row r="17" spans="1:13" ht="12.75">
      <c r="A17" s="6">
        <v>13</v>
      </c>
      <c r="B17" s="33" t="s">
        <v>619</v>
      </c>
      <c r="C17" s="2" t="s">
        <v>43</v>
      </c>
      <c r="D17" s="2" t="s">
        <v>89</v>
      </c>
      <c r="E17" s="7" t="s">
        <v>557</v>
      </c>
      <c r="F17" s="8">
        <v>4.05</v>
      </c>
      <c r="G17" s="9">
        <v>2018</v>
      </c>
      <c r="I17" s="10">
        <f t="shared" si="1"/>
        <v>4.05</v>
      </c>
      <c r="J17" s="10">
        <f t="shared" si="1"/>
        <v>4.05</v>
      </c>
      <c r="K17" s="10">
        <f t="shared" si="1"/>
        <v>4.05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299</v>
      </c>
      <c r="C18" s="2" t="s">
        <v>39</v>
      </c>
      <c r="D18" s="2" t="s">
        <v>70</v>
      </c>
      <c r="E18" s="7" t="s">
        <v>371</v>
      </c>
      <c r="F18" s="8">
        <v>2.75</v>
      </c>
      <c r="G18" s="9">
        <v>2018</v>
      </c>
      <c r="I18" s="10">
        <f t="shared" si="1"/>
        <v>2.75</v>
      </c>
      <c r="J18" s="10">
        <f t="shared" si="1"/>
        <v>2.75</v>
      </c>
      <c r="K18" s="10">
        <f t="shared" si="1"/>
        <v>2.75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20" t="s">
        <v>330</v>
      </c>
      <c r="C19" s="2" t="s">
        <v>38</v>
      </c>
      <c r="D19" s="2" t="s">
        <v>72</v>
      </c>
      <c r="E19" s="7" t="s">
        <v>372</v>
      </c>
      <c r="F19" s="8">
        <v>55.25</v>
      </c>
      <c r="G19" s="9">
        <v>2017</v>
      </c>
      <c r="I19" s="10">
        <f t="shared" si="1"/>
        <v>55.25</v>
      </c>
      <c r="J19" s="10">
        <f t="shared" si="1"/>
        <v>55.25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329</v>
      </c>
      <c r="C20" s="2" t="s">
        <v>41</v>
      </c>
      <c r="D20" s="2" t="s">
        <v>80</v>
      </c>
      <c r="E20" s="30" t="s">
        <v>372</v>
      </c>
      <c r="F20" s="12">
        <v>10.6</v>
      </c>
      <c r="G20" s="13">
        <v>2017</v>
      </c>
      <c r="I20" s="10">
        <f t="shared" si="1"/>
        <v>10.6</v>
      </c>
      <c r="J20" s="10">
        <f t="shared" si="1"/>
        <v>10.6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201</v>
      </c>
      <c r="C21" s="2" t="s">
        <v>44</v>
      </c>
      <c r="D21" s="2" t="s">
        <v>66</v>
      </c>
      <c r="E21" s="32" t="s">
        <v>374</v>
      </c>
      <c r="F21" s="12">
        <v>2.55</v>
      </c>
      <c r="G21" s="13">
        <v>2017</v>
      </c>
      <c r="I21" s="10">
        <f t="shared" si="1"/>
        <v>2.55</v>
      </c>
      <c r="J21" s="10">
        <f t="shared" si="1"/>
        <v>2.55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682</v>
      </c>
      <c r="C22" s="30" t="s">
        <v>43</v>
      </c>
      <c r="D22" s="30" t="s">
        <v>59</v>
      </c>
      <c r="E22" s="30" t="s">
        <v>557</v>
      </c>
      <c r="F22" s="8">
        <v>6.65</v>
      </c>
      <c r="G22" s="9">
        <v>2016</v>
      </c>
      <c r="I22" s="10">
        <f t="shared" si="1"/>
        <v>6.65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131</v>
      </c>
      <c r="C23" s="2" t="s">
        <v>42</v>
      </c>
      <c r="D23" s="2" t="s">
        <v>76</v>
      </c>
      <c r="E23" s="7" t="s">
        <v>56</v>
      </c>
      <c r="F23" s="12">
        <v>5.8</v>
      </c>
      <c r="G23" s="13">
        <v>2016</v>
      </c>
      <c r="I23" s="10">
        <f t="shared" si="1"/>
        <v>5.8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472</v>
      </c>
      <c r="C24" s="30" t="s">
        <v>43</v>
      </c>
      <c r="D24" s="30" t="s">
        <v>71</v>
      </c>
      <c r="E24" s="30" t="s">
        <v>427</v>
      </c>
      <c r="F24" s="8">
        <v>5.05</v>
      </c>
      <c r="G24" s="9">
        <v>2016</v>
      </c>
      <c r="I24" s="10">
        <f t="shared" si="1"/>
        <v>5.05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770</v>
      </c>
      <c r="C25" s="2" t="s">
        <v>40</v>
      </c>
      <c r="D25" s="30" t="s">
        <v>64</v>
      </c>
      <c r="E25" s="7" t="s">
        <v>691</v>
      </c>
      <c r="F25" s="12">
        <v>3</v>
      </c>
      <c r="G25" s="13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773</v>
      </c>
      <c r="C26" s="2" t="s">
        <v>44</v>
      </c>
      <c r="D26" s="2" t="s">
        <v>702</v>
      </c>
      <c r="E26" s="7" t="s">
        <v>691</v>
      </c>
      <c r="F26" s="8">
        <v>3</v>
      </c>
      <c r="G26" s="9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348</v>
      </c>
      <c r="C27" s="30" t="s">
        <v>40</v>
      </c>
      <c r="D27" s="30" t="s">
        <v>89</v>
      </c>
      <c r="E27" s="32" t="s">
        <v>691</v>
      </c>
      <c r="F27" s="8">
        <v>3</v>
      </c>
      <c r="G27" s="9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778</v>
      </c>
      <c r="C28" s="2" t="s">
        <v>43</v>
      </c>
      <c r="D28" s="2" t="s">
        <v>87</v>
      </c>
      <c r="E28" s="7" t="s">
        <v>691</v>
      </c>
      <c r="F28" s="8">
        <v>3</v>
      </c>
      <c r="G28" s="9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779</v>
      </c>
      <c r="C29" s="2" t="s">
        <v>43</v>
      </c>
      <c r="D29" s="2" t="s">
        <v>61</v>
      </c>
      <c r="E29" s="7" t="s">
        <v>691</v>
      </c>
      <c r="F29" s="8">
        <v>3</v>
      </c>
      <c r="G29" s="9">
        <v>2016</v>
      </c>
      <c r="I29" s="10">
        <f t="shared" si="1"/>
        <v>3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1"/>
      <c r="D31" s="2"/>
      <c r="E31" s="7"/>
      <c r="F31" s="8"/>
      <c r="G31" s="9"/>
      <c r="I31" s="15">
        <f>+SUM(I5:I29)</f>
        <v>235.35000000000005</v>
      </c>
      <c r="J31" s="15">
        <f>+SUM(J5:J29)</f>
        <v>202.85000000000002</v>
      </c>
      <c r="K31" s="15">
        <f>+SUM(K5:K29)</f>
        <v>134.45000000000002</v>
      </c>
      <c r="L31" s="15">
        <f>+SUM(L5:L29)</f>
        <v>127.65</v>
      </c>
      <c r="M31" s="15">
        <f>+SUM(M5:M29)</f>
        <v>83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243</v>
      </c>
      <c r="C37" s="2" t="s">
        <v>39</v>
      </c>
      <c r="D37" s="30" t="s">
        <v>72</v>
      </c>
      <c r="E37" s="7">
        <v>2015</v>
      </c>
      <c r="F37" s="8">
        <v>12.2</v>
      </c>
      <c r="G37" s="9">
        <v>2017</v>
      </c>
      <c r="I37" s="10">
        <f aca="true" t="shared" si="2" ref="I37:I49">+CEILING(IF($I$35=E37,F37,IF($I$35&lt;=G37,F37*0.3,0)),0.05)</f>
        <v>3.7</v>
      </c>
      <c r="J37" s="10">
        <f aca="true" t="shared" si="3" ref="J37:J49">+CEILING(IF($J$35&lt;=G37,F37*0.3,0),0.05)</f>
        <v>3.7</v>
      </c>
      <c r="K37" s="10">
        <f aca="true" t="shared" si="4" ref="K37:K49">+CEILING(IF($K$35&lt;=G37,F37*0.3,0),0.05)</f>
        <v>0</v>
      </c>
      <c r="L37" s="10">
        <f aca="true" t="shared" si="5" ref="L37:L49">+CEILING(IF($L$35&lt;=G37,F37*0.3,0),0.05)</f>
        <v>0</v>
      </c>
      <c r="M37" s="10">
        <f aca="true" t="shared" si="6" ref="M37:M49">CEILING(IF($M$35&lt;=G37,F37*0.3,0),0.05)</f>
        <v>0</v>
      </c>
    </row>
    <row r="38" spans="1:13" ht="12.75">
      <c r="A38" s="6">
        <v>2</v>
      </c>
      <c r="B38" s="31" t="s">
        <v>111</v>
      </c>
      <c r="C38" s="30" t="s">
        <v>39</v>
      </c>
      <c r="D38" s="30" t="s">
        <v>88</v>
      </c>
      <c r="E38" s="30">
        <v>2015</v>
      </c>
      <c r="F38" s="12">
        <v>15.25</v>
      </c>
      <c r="G38" s="13">
        <v>2016</v>
      </c>
      <c r="I38" s="10">
        <f t="shared" si="2"/>
        <v>4.6000000000000005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113</v>
      </c>
      <c r="C39" s="30" t="s">
        <v>40</v>
      </c>
      <c r="D39" s="30" t="s">
        <v>114</v>
      </c>
      <c r="E39" s="32">
        <v>2014</v>
      </c>
      <c r="F39" s="8">
        <v>12.9</v>
      </c>
      <c r="G39" s="9">
        <v>2016</v>
      </c>
      <c r="I39" s="10">
        <f t="shared" si="2"/>
        <v>3.9000000000000004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473</v>
      </c>
      <c r="C40" s="30" t="s">
        <v>44</v>
      </c>
      <c r="D40" s="30" t="s">
        <v>76</v>
      </c>
      <c r="E40" s="7">
        <v>2016</v>
      </c>
      <c r="F40" s="8">
        <v>4.5</v>
      </c>
      <c r="G40" s="9">
        <v>2016</v>
      </c>
      <c r="I40" s="10">
        <f t="shared" si="2"/>
        <v>4.5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713</v>
      </c>
      <c r="C41" s="2" t="s">
        <v>44</v>
      </c>
      <c r="D41" s="2" t="s">
        <v>89</v>
      </c>
      <c r="E41" s="7">
        <v>2016</v>
      </c>
      <c r="F41" s="8">
        <v>3</v>
      </c>
      <c r="G41" s="9">
        <v>2016</v>
      </c>
      <c r="I41" s="10">
        <f t="shared" si="2"/>
        <v>3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696</v>
      </c>
      <c r="C42" s="2" t="s">
        <v>39</v>
      </c>
      <c r="D42" s="2" t="s">
        <v>69</v>
      </c>
      <c r="E42" s="7">
        <v>2016</v>
      </c>
      <c r="F42" s="8">
        <v>3</v>
      </c>
      <c r="G42" s="9">
        <v>2016</v>
      </c>
      <c r="I42" s="10">
        <f t="shared" si="2"/>
        <v>3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771</v>
      </c>
      <c r="C43" s="2" t="s">
        <v>39</v>
      </c>
      <c r="D43" s="2" t="s">
        <v>68</v>
      </c>
      <c r="E43" s="7">
        <v>2016</v>
      </c>
      <c r="F43" s="8">
        <v>3</v>
      </c>
      <c r="G43" s="9">
        <v>2016</v>
      </c>
      <c r="I43" s="10">
        <f t="shared" si="2"/>
        <v>3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772</v>
      </c>
      <c r="C44" s="2" t="s">
        <v>43</v>
      </c>
      <c r="D44" s="2" t="s">
        <v>80</v>
      </c>
      <c r="E44" s="7">
        <v>2016</v>
      </c>
      <c r="F44" s="8">
        <v>3</v>
      </c>
      <c r="G44" s="9">
        <v>2016</v>
      </c>
      <c r="I44" s="10">
        <f t="shared" si="2"/>
        <v>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725</v>
      </c>
      <c r="C45" s="2" t="s">
        <v>42</v>
      </c>
      <c r="D45" s="2" t="s">
        <v>63</v>
      </c>
      <c r="E45" s="7">
        <v>2016</v>
      </c>
      <c r="F45" s="8">
        <v>3</v>
      </c>
      <c r="G45" s="9">
        <v>2016</v>
      </c>
      <c r="I45" s="10">
        <f t="shared" si="2"/>
        <v>3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774</v>
      </c>
      <c r="C46" s="2" t="s">
        <v>43</v>
      </c>
      <c r="D46" s="2" t="s">
        <v>87</v>
      </c>
      <c r="E46" s="7">
        <v>2016</v>
      </c>
      <c r="F46" s="8">
        <v>3</v>
      </c>
      <c r="G46" s="9">
        <v>2016</v>
      </c>
      <c r="I46" s="10">
        <f t="shared" si="2"/>
        <v>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 t="s">
        <v>775</v>
      </c>
      <c r="C47" s="2" t="s">
        <v>39</v>
      </c>
      <c r="D47" s="2" t="s">
        <v>67</v>
      </c>
      <c r="E47" s="7">
        <v>2016</v>
      </c>
      <c r="F47" s="8">
        <v>3</v>
      </c>
      <c r="G47" s="9">
        <v>2016</v>
      </c>
      <c r="I47" s="10">
        <f t="shared" si="2"/>
        <v>3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1" t="s">
        <v>776</v>
      </c>
      <c r="C48" s="2" t="s">
        <v>43</v>
      </c>
      <c r="D48" s="2" t="s">
        <v>84</v>
      </c>
      <c r="E48" s="7">
        <v>2016</v>
      </c>
      <c r="F48" s="8">
        <v>3</v>
      </c>
      <c r="G48" s="9">
        <v>2016</v>
      </c>
      <c r="I48" s="10">
        <f t="shared" si="2"/>
        <v>3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1" t="s">
        <v>777</v>
      </c>
      <c r="C49" s="2" t="s">
        <v>39</v>
      </c>
      <c r="D49" s="2" t="s">
        <v>84</v>
      </c>
      <c r="E49" s="7">
        <v>2016</v>
      </c>
      <c r="F49" s="8">
        <v>3</v>
      </c>
      <c r="G49" s="9">
        <v>2016</v>
      </c>
      <c r="I49" s="10">
        <f t="shared" si="2"/>
        <v>3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D50" s="2"/>
      <c r="E50" s="7"/>
      <c r="F50" s="12"/>
      <c r="G50" s="13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.75">
      <c r="A51" s="6">
        <v>15</v>
      </c>
      <c r="B51" s="31"/>
      <c r="D51" s="2"/>
      <c r="E51" s="7"/>
      <c r="F51" s="8"/>
      <c r="G51" s="9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1:13" ht="12.75">
      <c r="A52" s="6">
        <v>16</v>
      </c>
      <c r="B52" s="31"/>
      <c r="D52" s="2"/>
      <c r="E52" s="7"/>
      <c r="F52" s="8"/>
      <c r="G52" s="9"/>
      <c r="I52" s="10">
        <f>+CEILING(IF($I$35=E52,F52,IF($I$35&lt;=G52,F52*0.3,0)),0.05)</f>
        <v>0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B53" s="31"/>
      <c r="C53" s="30"/>
      <c r="D53" s="30"/>
      <c r="E53" s="30"/>
      <c r="F53" s="8"/>
      <c r="G53" s="9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B54" s="31"/>
      <c r="D54" s="2"/>
      <c r="E54" s="7"/>
      <c r="F54" s="8"/>
      <c r="G54" s="9"/>
      <c r="I54" s="10">
        <f>+CEILING(IF($I$35=E54,F54,IF($I$35&lt;=G54,F54*0.3,0)),0.05)</f>
        <v>0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9:13" ht="7.5" customHeight="1">
      <c r="I55" s="14"/>
      <c r="J55" s="14"/>
      <c r="K55" s="14"/>
      <c r="L55" s="14"/>
      <c r="M55" s="14"/>
    </row>
    <row r="56" spans="9:13" ht="12.75">
      <c r="I56" s="15">
        <f>+SUM(I37:I55)</f>
        <v>43.7</v>
      </c>
      <c r="J56" s="15">
        <f>+SUM(J37:J55)</f>
        <v>3.7</v>
      </c>
      <c r="K56" s="15">
        <f>+SUM(K37:K55)</f>
        <v>0</v>
      </c>
      <c r="L56" s="15">
        <f>+SUM(L37:L55)</f>
        <v>0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625</v>
      </c>
      <c r="C5" s="2" t="s">
        <v>38</v>
      </c>
      <c r="D5" s="2" t="s">
        <v>84</v>
      </c>
      <c r="E5" s="7" t="s">
        <v>557</v>
      </c>
      <c r="F5" s="8">
        <v>9.95</v>
      </c>
      <c r="G5" s="9">
        <v>2020</v>
      </c>
      <c r="I5" s="10">
        <f aca="true" t="shared" si="0" ref="I5:M14">+IF($G5&gt;=I$3,$F5,0)</f>
        <v>9.95</v>
      </c>
      <c r="J5" s="10">
        <f t="shared" si="0"/>
        <v>9.95</v>
      </c>
      <c r="K5" s="10">
        <f t="shared" si="0"/>
        <v>9.95</v>
      </c>
      <c r="L5" s="10">
        <f t="shared" si="0"/>
        <v>9.95</v>
      </c>
      <c r="M5" s="10">
        <f t="shared" si="0"/>
        <v>9.95</v>
      </c>
    </row>
    <row r="6" spans="1:13" ht="12.75">
      <c r="A6" s="6">
        <v>2</v>
      </c>
      <c r="B6" s="1" t="s">
        <v>403</v>
      </c>
      <c r="C6" s="2" t="s">
        <v>38</v>
      </c>
      <c r="D6" s="2" t="s">
        <v>55</v>
      </c>
      <c r="E6" s="7" t="s">
        <v>386</v>
      </c>
      <c r="F6" s="12">
        <v>8</v>
      </c>
      <c r="G6" s="13">
        <v>2019</v>
      </c>
      <c r="I6" s="10">
        <f t="shared" si="0"/>
        <v>8</v>
      </c>
      <c r="J6" s="10">
        <f t="shared" si="0"/>
        <v>8</v>
      </c>
      <c r="K6" s="10">
        <f t="shared" si="0"/>
        <v>8</v>
      </c>
      <c r="L6" s="10">
        <f t="shared" si="0"/>
        <v>8</v>
      </c>
      <c r="M6" s="10">
        <f t="shared" si="0"/>
        <v>0</v>
      </c>
    </row>
    <row r="7" spans="1:13" ht="12.75">
      <c r="A7" s="6">
        <v>3</v>
      </c>
      <c r="B7" s="33" t="s">
        <v>499</v>
      </c>
      <c r="C7" s="2" t="s">
        <v>43</v>
      </c>
      <c r="D7" s="2" t="s">
        <v>71</v>
      </c>
      <c r="E7" s="2" t="s">
        <v>427</v>
      </c>
      <c r="F7" s="8">
        <v>3.4</v>
      </c>
      <c r="G7" s="9">
        <v>2019</v>
      </c>
      <c r="I7" s="10">
        <f t="shared" si="0"/>
        <v>3.4</v>
      </c>
      <c r="J7" s="10">
        <f t="shared" si="0"/>
        <v>3.4</v>
      </c>
      <c r="K7" s="10">
        <f t="shared" si="0"/>
        <v>3.4</v>
      </c>
      <c r="L7" s="10">
        <f t="shared" si="0"/>
        <v>3.4</v>
      </c>
      <c r="M7" s="10">
        <f t="shared" si="0"/>
        <v>0</v>
      </c>
    </row>
    <row r="8" spans="1:13" ht="12.75">
      <c r="A8" s="6">
        <v>4</v>
      </c>
      <c r="B8" s="33" t="s">
        <v>415</v>
      </c>
      <c r="C8" s="2" t="s">
        <v>39</v>
      </c>
      <c r="D8" s="2" t="s">
        <v>86</v>
      </c>
      <c r="E8" s="2" t="s">
        <v>386</v>
      </c>
      <c r="F8" s="8">
        <v>2.9</v>
      </c>
      <c r="G8" s="9">
        <v>2019</v>
      </c>
      <c r="I8" s="10">
        <f t="shared" si="0"/>
        <v>2.9</v>
      </c>
      <c r="J8" s="10">
        <f t="shared" si="0"/>
        <v>2.9</v>
      </c>
      <c r="K8" s="10">
        <f t="shared" si="0"/>
        <v>2.9</v>
      </c>
      <c r="L8" s="10">
        <f t="shared" si="0"/>
        <v>2.9</v>
      </c>
      <c r="M8" s="10">
        <f t="shared" si="0"/>
        <v>0</v>
      </c>
    </row>
    <row r="9" spans="1:13" ht="12.75">
      <c r="A9" s="6">
        <v>5</v>
      </c>
      <c r="B9" s="31" t="s">
        <v>506</v>
      </c>
      <c r="C9" s="2" t="s">
        <v>43</v>
      </c>
      <c r="D9" s="2" t="s">
        <v>61</v>
      </c>
      <c r="E9" s="7" t="s">
        <v>427</v>
      </c>
      <c r="F9" s="8">
        <v>2.9</v>
      </c>
      <c r="G9" s="9">
        <v>2019</v>
      </c>
      <c r="I9" s="10">
        <f t="shared" si="0"/>
        <v>2.9</v>
      </c>
      <c r="J9" s="10">
        <f t="shared" si="0"/>
        <v>2.9</v>
      </c>
      <c r="K9" s="10">
        <f t="shared" si="0"/>
        <v>2.9</v>
      </c>
      <c r="L9" s="10">
        <f t="shared" si="0"/>
        <v>2.9</v>
      </c>
      <c r="M9" s="10">
        <f t="shared" si="0"/>
        <v>0</v>
      </c>
    </row>
    <row r="10" spans="1:13" ht="12.75">
      <c r="A10" s="6">
        <v>6</v>
      </c>
      <c r="B10" s="31" t="s">
        <v>340</v>
      </c>
      <c r="C10" s="2" t="s">
        <v>44</v>
      </c>
      <c r="D10" s="2" t="s">
        <v>86</v>
      </c>
      <c r="E10" s="7" t="s">
        <v>372</v>
      </c>
      <c r="F10" s="8">
        <v>5.2</v>
      </c>
      <c r="G10" s="9">
        <v>2018</v>
      </c>
      <c r="I10" s="10">
        <f t="shared" si="0"/>
        <v>5.2</v>
      </c>
      <c r="J10" s="10">
        <f t="shared" si="0"/>
        <v>5.2</v>
      </c>
      <c r="K10" s="10">
        <f t="shared" si="0"/>
        <v>5.2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31" t="s">
        <v>609</v>
      </c>
      <c r="C11" s="30" t="s">
        <v>38</v>
      </c>
      <c r="D11" s="30" t="s">
        <v>88</v>
      </c>
      <c r="E11" s="30" t="s">
        <v>557</v>
      </c>
      <c r="F11" s="12">
        <v>3</v>
      </c>
      <c r="G11" s="13">
        <v>2018</v>
      </c>
      <c r="I11" s="10">
        <f t="shared" si="0"/>
        <v>3</v>
      </c>
      <c r="J11" s="10">
        <f t="shared" si="0"/>
        <v>3</v>
      </c>
      <c r="K11" s="10">
        <f t="shared" si="0"/>
        <v>3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313</v>
      </c>
      <c r="C12" s="2" t="s">
        <v>40</v>
      </c>
      <c r="D12" s="2" t="s">
        <v>80</v>
      </c>
      <c r="E12" s="2" t="s">
        <v>371</v>
      </c>
      <c r="F12" s="12">
        <v>2.75</v>
      </c>
      <c r="G12" s="13">
        <v>2018</v>
      </c>
      <c r="I12" s="10">
        <f t="shared" si="0"/>
        <v>2.75</v>
      </c>
      <c r="J12" s="10">
        <f t="shared" si="0"/>
        <v>2.75</v>
      </c>
      <c r="K12" s="10">
        <f t="shared" si="0"/>
        <v>2.75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608</v>
      </c>
      <c r="C13" s="30" t="s">
        <v>41</v>
      </c>
      <c r="D13" s="30" t="s">
        <v>73</v>
      </c>
      <c r="E13" s="30" t="s">
        <v>557</v>
      </c>
      <c r="F13" s="12">
        <v>20.5</v>
      </c>
      <c r="G13" s="13">
        <v>2017</v>
      </c>
      <c r="I13" s="10">
        <f t="shared" si="0"/>
        <v>20.5</v>
      </c>
      <c r="J13" s="10">
        <f t="shared" si="0"/>
        <v>20.5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232</v>
      </c>
      <c r="C14" s="2" t="s">
        <v>41</v>
      </c>
      <c r="D14" s="30" t="s">
        <v>88</v>
      </c>
      <c r="E14" s="7" t="s">
        <v>56</v>
      </c>
      <c r="F14" s="12">
        <v>18.65</v>
      </c>
      <c r="G14" s="13">
        <v>2017</v>
      </c>
      <c r="I14" s="10">
        <f t="shared" si="0"/>
        <v>18.65</v>
      </c>
      <c r="J14" s="10">
        <f t="shared" si="0"/>
        <v>18.65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199</v>
      </c>
      <c r="C15" s="2" t="s">
        <v>40</v>
      </c>
      <c r="D15" s="2" t="s">
        <v>82</v>
      </c>
      <c r="E15" s="32" t="s">
        <v>373</v>
      </c>
      <c r="F15" s="8">
        <v>12.7</v>
      </c>
      <c r="G15" s="9">
        <v>2017</v>
      </c>
      <c r="I15" s="10">
        <f aca="true" t="shared" si="1" ref="I15:M29">+IF($G15&gt;=I$3,$F15,0)</f>
        <v>12.7</v>
      </c>
      <c r="J15" s="10">
        <f t="shared" si="1"/>
        <v>12.7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246</v>
      </c>
      <c r="C16" s="30" t="s">
        <v>44</v>
      </c>
      <c r="D16" s="30" t="s">
        <v>71</v>
      </c>
      <c r="E16" s="32" t="s">
        <v>56</v>
      </c>
      <c r="F16" s="8">
        <v>9.1</v>
      </c>
      <c r="G16" s="9">
        <v>2017</v>
      </c>
      <c r="I16" s="10">
        <f t="shared" si="1"/>
        <v>9.1</v>
      </c>
      <c r="J16" s="10">
        <f t="shared" si="1"/>
        <v>9.1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525</v>
      </c>
      <c r="C17" s="30" t="s">
        <v>39</v>
      </c>
      <c r="D17" s="30" t="s">
        <v>62</v>
      </c>
      <c r="E17" s="7" t="s">
        <v>515</v>
      </c>
      <c r="F17" s="8">
        <v>9</v>
      </c>
      <c r="G17" s="9">
        <v>2017</v>
      </c>
      <c r="I17" s="10">
        <f t="shared" si="1"/>
        <v>9</v>
      </c>
      <c r="J17" s="10">
        <f t="shared" si="1"/>
        <v>9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338</v>
      </c>
      <c r="C18" s="2" t="s">
        <v>43</v>
      </c>
      <c r="D18" s="2" t="s">
        <v>59</v>
      </c>
      <c r="E18" s="7" t="s">
        <v>372</v>
      </c>
      <c r="F18" s="12">
        <v>4.2</v>
      </c>
      <c r="G18" s="13">
        <v>2017</v>
      </c>
      <c r="I18" s="10">
        <f t="shared" si="1"/>
        <v>4.2</v>
      </c>
      <c r="J18" s="10">
        <f t="shared" si="1"/>
        <v>4.2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549</v>
      </c>
      <c r="C19" s="30" t="s">
        <v>40</v>
      </c>
      <c r="D19" s="30" t="s">
        <v>85</v>
      </c>
      <c r="E19" s="30" t="s">
        <v>515</v>
      </c>
      <c r="F19" s="12">
        <v>3</v>
      </c>
      <c r="G19" s="13">
        <v>2017</v>
      </c>
      <c r="I19" s="10">
        <f t="shared" si="1"/>
        <v>3</v>
      </c>
      <c r="J19" s="10">
        <f t="shared" si="1"/>
        <v>3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337</v>
      </c>
      <c r="C20" s="2" t="s">
        <v>44</v>
      </c>
      <c r="D20" s="2" t="s">
        <v>78</v>
      </c>
      <c r="E20" s="7" t="s">
        <v>372</v>
      </c>
      <c r="F20" s="12">
        <v>2.75</v>
      </c>
      <c r="G20" s="13">
        <v>2017</v>
      </c>
      <c r="I20" s="10">
        <f t="shared" si="1"/>
        <v>2.75</v>
      </c>
      <c r="J20" s="10">
        <f t="shared" si="1"/>
        <v>2.75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339</v>
      </c>
      <c r="C21" s="2" t="s">
        <v>41</v>
      </c>
      <c r="D21" s="2" t="s">
        <v>82</v>
      </c>
      <c r="E21" s="7" t="s">
        <v>372</v>
      </c>
      <c r="F21" s="12">
        <v>2.75</v>
      </c>
      <c r="G21" s="13">
        <v>2017</v>
      </c>
      <c r="I21" s="10">
        <f t="shared" si="1"/>
        <v>2.75</v>
      </c>
      <c r="J21" s="10">
        <f t="shared" si="1"/>
        <v>2.75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200</v>
      </c>
      <c r="C22" s="2" t="s">
        <v>43</v>
      </c>
      <c r="D22" s="2" t="s">
        <v>72</v>
      </c>
      <c r="E22" s="7" t="s">
        <v>56</v>
      </c>
      <c r="F22" s="8">
        <v>2.55</v>
      </c>
      <c r="G22" s="9">
        <v>2017</v>
      </c>
      <c r="I22" s="10">
        <f t="shared" si="1"/>
        <v>2.55</v>
      </c>
      <c r="J22" s="10">
        <f t="shared" si="1"/>
        <v>2.55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226</v>
      </c>
      <c r="C23" s="2" t="s">
        <v>40</v>
      </c>
      <c r="D23" s="2" t="s">
        <v>78</v>
      </c>
      <c r="E23" s="7" t="s">
        <v>373</v>
      </c>
      <c r="F23" s="12">
        <v>2.55</v>
      </c>
      <c r="G23" s="13">
        <v>2017</v>
      </c>
      <c r="I23" s="10">
        <f t="shared" si="1"/>
        <v>2.55</v>
      </c>
      <c r="J23" s="10">
        <f t="shared" si="1"/>
        <v>2.55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328</v>
      </c>
      <c r="C24" s="2" t="s">
        <v>39</v>
      </c>
      <c r="D24" s="2" t="s">
        <v>81</v>
      </c>
      <c r="E24" s="30" t="s">
        <v>372</v>
      </c>
      <c r="F24" s="8">
        <v>83.75</v>
      </c>
      <c r="G24" s="9">
        <v>2016</v>
      </c>
      <c r="I24" s="10">
        <f t="shared" si="1"/>
        <v>83.75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357</v>
      </c>
      <c r="C25" s="2" t="s">
        <v>43</v>
      </c>
      <c r="D25" s="2" t="s">
        <v>79</v>
      </c>
      <c r="E25" s="7" t="s">
        <v>372</v>
      </c>
      <c r="F25" s="8">
        <v>4.8</v>
      </c>
      <c r="G25" s="9">
        <v>2016</v>
      </c>
      <c r="I25" s="10">
        <f t="shared" si="1"/>
        <v>4.8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769</v>
      </c>
      <c r="C26" s="30" t="s">
        <v>42</v>
      </c>
      <c r="D26" s="30" t="s">
        <v>55</v>
      </c>
      <c r="E26" s="7" t="s">
        <v>691</v>
      </c>
      <c r="F26" s="8">
        <v>3</v>
      </c>
      <c r="G26" s="9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223</v>
      </c>
      <c r="C27" s="30" t="s">
        <v>42</v>
      </c>
      <c r="D27" s="30" t="s">
        <v>60</v>
      </c>
      <c r="E27" s="30" t="s">
        <v>691</v>
      </c>
      <c r="F27" s="8">
        <v>3</v>
      </c>
      <c r="G27" s="9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/>
      <c r="D28" s="2"/>
      <c r="E28" s="7"/>
      <c r="F28" s="12"/>
      <c r="G28" s="13"/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/>
      <c r="D29" s="2"/>
      <c r="E29" s="7"/>
      <c r="F29" s="12"/>
      <c r="G29" s="13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1"/>
      <c r="C31" s="30"/>
      <c r="D31" s="30"/>
      <c r="E31" s="7"/>
      <c r="F31" s="8"/>
      <c r="G31" s="9"/>
      <c r="I31" s="15">
        <f>+SUM(I5:I29)</f>
        <v>220.4</v>
      </c>
      <c r="J31" s="15">
        <f>+SUM(J5:J29)</f>
        <v>125.85</v>
      </c>
      <c r="K31" s="15">
        <f>+SUM(K5:K29)</f>
        <v>38.099999999999994</v>
      </c>
      <c r="L31" s="15">
        <f>+SUM(L5:L29)</f>
        <v>27.149999999999995</v>
      </c>
      <c r="M31" s="15">
        <f>+SUM(M5:M29)</f>
        <v>9.95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289</v>
      </c>
      <c r="C37" s="2" t="s">
        <v>38</v>
      </c>
      <c r="D37" s="2" t="s">
        <v>88</v>
      </c>
      <c r="E37" s="2">
        <v>2016</v>
      </c>
      <c r="F37" s="12">
        <v>9.6</v>
      </c>
      <c r="G37" s="13">
        <v>2018</v>
      </c>
      <c r="I37" s="10">
        <f aca="true" t="shared" si="2" ref="I37:I44">+CEILING(IF($I$35=E37,F37,IF($I$35&lt;=G37,F37*0.3,0)),0.05)</f>
        <v>9.600000000000001</v>
      </c>
      <c r="J37" s="10">
        <f aca="true" t="shared" si="3" ref="J37:J44">+CEILING(IF($J$35&lt;=G37,F37*0.3,0),0.05)</f>
        <v>2.9000000000000004</v>
      </c>
      <c r="K37" s="10">
        <f aca="true" t="shared" si="4" ref="K37:K44">+CEILING(IF($K$35&lt;=G37,F37*0.3,0),0.05)</f>
        <v>2.9000000000000004</v>
      </c>
      <c r="L37" s="10">
        <f aca="true" t="shared" si="5" ref="L37:L44">+CEILING(IF($L$35&lt;=G37,F37*0.3,0),0.05)</f>
        <v>0</v>
      </c>
      <c r="M37" s="10">
        <f aca="true" t="shared" si="6" ref="M37:M44">CEILING(IF($M$35&lt;=G37,F37*0.3,0),0.05)</f>
        <v>0</v>
      </c>
    </row>
    <row r="38" spans="1:13" ht="12.75">
      <c r="A38" s="6">
        <v>2</v>
      </c>
      <c r="B38" s="31" t="s">
        <v>202</v>
      </c>
      <c r="C38" s="30" t="s">
        <v>43</v>
      </c>
      <c r="D38" s="30" t="s">
        <v>81</v>
      </c>
      <c r="E38" s="30">
        <v>2015</v>
      </c>
      <c r="F38" s="12">
        <v>2.55</v>
      </c>
      <c r="G38" s="13">
        <v>2017</v>
      </c>
      <c r="I38" s="10">
        <f t="shared" si="2"/>
        <v>0.8</v>
      </c>
      <c r="J38" s="10">
        <f t="shared" si="3"/>
        <v>0.8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175</v>
      </c>
      <c r="C39" s="2" t="s">
        <v>39</v>
      </c>
      <c r="D39" s="2" t="s">
        <v>84</v>
      </c>
      <c r="E39" s="7">
        <v>2014</v>
      </c>
      <c r="F39" s="12">
        <v>8.95</v>
      </c>
      <c r="G39" s="13">
        <v>2016</v>
      </c>
      <c r="I39" s="10">
        <f t="shared" si="2"/>
        <v>2.7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126</v>
      </c>
      <c r="C40" s="30" t="s">
        <v>40</v>
      </c>
      <c r="D40" s="30" t="s">
        <v>64</v>
      </c>
      <c r="E40" s="7">
        <v>2013</v>
      </c>
      <c r="F40" s="8">
        <v>5.85</v>
      </c>
      <c r="G40" s="9">
        <v>2016</v>
      </c>
      <c r="I40" s="10">
        <f t="shared" si="2"/>
        <v>1.8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353</v>
      </c>
      <c r="C41" s="2" t="s">
        <v>39</v>
      </c>
      <c r="D41" s="2" t="s">
        <v>85</v>
      </c>
      <c r="E41" s="7">
        <v>2015</v>
      </c>
      <c r="F41" s="8">
        <v>5.75</v>
      </c>
      <c r="G41" s="9">
        <v>2016</v>
      </c>
      <c r="I41" s="10">
        <f t="shared" si="2"/>
        <v>1.75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627</v>
      </c>
      <c r="C42" s="30" t="s">
        <v>42</v>
      </c>
      <c r="D42" s="30" t="s">
        <v>81</v>
      </c>
      <c r="E42" s="7">
        <v>2016</v>
      </c>
      <c r="F42" s="8">
        <v>3.85</v>
      </c>
      <c r="G42" s="9">
        <v>2016</v>
      </c>
      <c r="I42" s="10">
        <f t="shared" si="2"/>
        <v>3.85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/>
      <c r="C44" s="30"/>
      <c r="D44" s="30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/>
      <c r="C45" s="30"/>
      <c r="D45" s="30"/>
      <c r="E45" s="7"/>
      <c r="F45" s="8"/>
      <c r="G45" s="9"/>
      <c r="I45" s="10">
        <f aca="true" t="shared" si="7" ref="I45:I54">+CEILING(IF($I$35=E45,F45,IF($I$35&lt;=G45,F45*0.3,0)),0.05)</f>
        <v>0</v>
      </c>
      <c r="J45" s="10">
        <f aca="true" t="shared" si="8" ref="J45:J54">+CEILING(IF($J$35&lt;=G45,F45*0.3,0),0.05)</f>
        <v>0</v>
      </c>
      <c r="K45" s="10">
        <f aca="true" t="shared" si="9" ref="K45:K54">+CEILING(IF($K$35&lt;=G45,F45*0.3,0),0.05)</f>
        <v>0</v>
      </c>
      <c r="L45" s="10">
        <f aca="true" t="shared" si="10" ref="L45:L54">+CEILING(IF($L$35&lt;=G45,F45*0.3,0),0.05)</f>
        <v>0</v>
      </c>
      <c r="M45" s="10">
        <f aca="true" t="shared" si="11" ref="M45:M54">CEILING(IF($M$35&lt;=G45,F45*0.3,0),0.05)</f>
        <v>0</v>
      </c>
    </row>
    <row r="46" spans="1:13" ht="12.75">
      <c r="A46" s="6">
        <v>10</v>
      </c>
      <c r="D46" s="2"/>
      <c r="E46" s="7"/>
      <c r="F46" s="8"/>
      <c r="G46" s="9"/>
      <c r="I46" s="10">
        <f t="shared" si="7"/>
        <v>0</v>
      </c>
      <c r="J46" s="10">
        <f t="shared" si="8"/>
        <v>0</v>
      </c>
      <c r="K46" s="10">
        <f t="shared" si="9"/>
        <v>0</v>
      </c>
      <c r="L46" s="10">
        <f t="shared" si="10"/>
        <v>0</v>
      </c>
      <c r="M46" s="10">
        <f t="shared" si="11"/>
        <v>0</v>
      </c>
    </row>
    <row r="47" spans="1:13" ht="12.75">
      <c r="A47" s="6">
        <v>11</v>
      </c>
      <c r="D47" s="2"/>
      <c r="E47" s="7"/>
      <c r="F47" s="8"/>
      <c r="G47" s="9"/>
      <c r="I47" s="10">
        <f t="shared" si="7"/>
        <v>0</v>
      </c>
      <c r="J47" s="10">
        <f t="shared" si="8"/>
        <v>0</v>
      </c>
      <c r="K47" s="10">
        <f t="shared" si="9"/>
        <v>0</v>
      </c>
      <c r="L47" s="10">
        <f t="shared" si="10"/>
        <v>0</v>
      </c>
      <c r="M47" s="10">
        <f t="shared" si="11"/>
        <v>0</v>
      </c>
    </row>
    <row r="48" spans="1:13" ht="12.75">
      <c r="A48" s="6">
        <v>12</v>
      </c>
      <c r="B48" s="31"/>
      <c r="D48" s="28"/>
      <c r="E48" s="7"/>
      <c r="F48" s="8"/>
      <c r="G48" s="9"/>
      <c r="I48" s="10">
        <f t="shared" si="7"/>
        <v>0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31"/>
      <c r="D49" s="2"/>
      <c r="E49" s="7"/>
      <c r="F49" s="12"/>
      <c r="G49" s="13"/>
      <c r="I49" s="10">
        <f t="shared" si="7"/>
        <v>0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19"/>
      <c r="D50" s="2"/>
      <c r="E50" s="7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D51" s="2"/>
      <c r="E51" s="7"/>
      <c r="F51" s="8"/>
      <c r="G51" s="9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29"/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D53" s="2"/>
      <c r="E53" s="7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9:13" ht="7.5" customHeight="1">
      <c r="I55" s="14"/>
      <c r="J55" s="14"/>
      <c r="K55" s="14"/>
      <c r="L55" s="14"/>
      <c r="M55" s="14"/>
    </row>
    <row r="56" spans="4:13" ht="12.75">
      <c r="D56" s="2"/>
      <c r="E56" s="7"/>
      <c r="F56" s="8"/>
      <c r="G56" s="9"/>
      <c r="I56" s="15">
        <f>+SUM(I37:I55)</f>
        <v>20.500000000000004</v>
      </c>
      <c r="J56" s="15">
        <f>+SUM(J37:J55)</f>
        <v>3.7</v>
      </c>
      <c r="K56" s="15">
        <f>+SUM(K37:K55)</f>
        <v>2.9000000000000004</v>
      </c>
      <c r="L56" s="15">
        <f>+SUM(L37:L55)</f>
        <v>0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523</v>
      </c>
      <c r="C5" s="2" t="s">
        <v>39</v>
      </c>
      <c r="D5" s="2" t="s">
        <v>84</v>
      </c>
      <c r="E5" s="32" t="s">
        <v>515</v>
      </c>
      <c r="F5" s="8">
        <v>12</v>
      </c>
      <c r="G5" s="9">
        <v>2020</v>
      </c>
      <c r="I5" s="10">
        <f aca="true" t="shared" si="0" ref="I5:M14">+IF($G5&gt;=I$3,$F5,0)</f>
        <v>12</v>
      </c>
      <c r="J5" s="10">
        <f t="shared" si="0"/>
        <v>12</v>
      </c>
      <c r="K5" s="10">
        <f t="shared" si="0"/>
        <v>12</v>
      </c>
      <c r="L5" s="10">
        <f t="shared" si="0"/>
        <v>12</v>
      </c>
      <c r="M5" s="10">
        <f t="shared" si="0"/>
        <v>12</v>
      </c>
    </row>
    <row r="6" spans="1:13" ht="12.75">
      <c r="A6" s="6">
        <v>2</v>
      </c>
      <c r="B6" s="31" t="s">
        <v>554</v>
      </c>
      <c r="C6" s="2" t="s">
        <v>40</v>
      </c>
      <c r="D6" s="2" t="s">
        <v>80</v>
      </c>
      <c r="E6" s="32" t="s">
        <v>515</v>
      </c>
      <c r="F6" s="8">
        <v>3</v>
      </c>
      <c r="G6" s="9">
        <v>2020</v>
      </c>
      <c r="I6" s="10">
        <f t="shared" si="0"/>
        <v>3</v>
      </c>
      <c r="J6" s="10">
        <f t="shared" si="0"/>
        <v>3</v>
      </c>
      <c r="K6" s="10">
        <f t="shared" si="0"/>
        <v>3</v>
      </c>
      <c r="L6" s="10">
        <f t="shared" si="0"/>
        <v>3</v>
      </c>
      <c r="M6" s="10">
        <f t="shared" si="0"/>
        <v>3</v>
      </c>
    </row>
    <row r="7" spans="1:13" ht="12.75">
      <c r="A7" s="6">
        <v>3</v>
      </c>
      <c r="B7" s="31" t="s">
        <v>407</v>
      </c>
      <c r="C7" s="2" t="s">
        <v>39</v>
      </c>
      <c r="D7" s="2" t="s">
        <v>65</v>
      </c>
      <c r="E7" s="7" t="s">
        <v>386</v>
      </c>
      <c r="F7" s="8">
        <v>6.55</v>
      </c>
      <c r="G7" s="9">
        <v>2019</v>
      </c>
      <c r="I7" s="10">
        <f t="shared" si="0"/>
        <v>6.55</v>
      </c>
      <c r="J7" s="10">
        <f t="shared" si="0"/>
        <v>6.55</v>
      </c>
      <c r="K7" s="10">
        <f t="shared" si="0"/>
        <v>6.55</v>
      </c>
      <c r="L7" s="10">
        <f t="shared" si="0"/>
        <v>6.55</v>
      </c>
      <c r="M7" s="10">
        <f t="shared" si="0"/>
        <v>0</v>
      </c>
    </row>
    <row r="8" spans="1:13" ht="12.75">
      <c r="A8" s="6">
        <v>4</v>
      </c>
      <c r="B8" s="1" t="s">
        <v>417</v>
      </c>
      <c r="C8" s="2" t="s">
        <v>39</v>
      </c>
      <c r="D8" s="2" t="s">
        <v>79</v>
      </c>
      <c r="E8" s="32" t="s">
        <v>386</v>
      </c>
      <c r="F8" s="12">
        <v>2.9</v>
      </c>
      <c r="G8" s="13">
        <v>2019</v>
      </c>
      <c r="I8" s="10">
        <f t="shared" si="0"/>
        <v>2.9</v>
      </c>
      <c r="J8" s="10">
        <f t="shared" si="0"/>
        <v>2.9</v>
      </c>
      <c r="K8" s="10">
        <f t="shared" si="0"/>
        <v>2.9</v>
      </c>
      <c r="L8" s="10">
        <f t="shared" si="0"/>
        <v>2.9</v>
      </c>
      <c r="M8" s="10">
        <f t="shared" si="0"/>
        <v>0</v>
      </c>
    </row>
    <row r="9" spans="1:13" ht="12.75">
      <c r="A9" s="6">
        <v>5</v>
      </c>
      <c r="B9" s="31" t="s">
        <v>290</v>
      </c>
      <c r="C9" s="2" t="s">
        <v>40</v>
      </c>
      <c r="D9" s="2" t="s">
        <v>79</v>
      </c>
      <c r="E9" s="7" t="s">
        <v>371</v>
      </c>
      <c r="F9" s="8">
        <v>8.25</v>
      </c>
      <c r="G9" s="9">
        <v>2018</v>
      </c>
      <c r="I9" s="10">
        <f t="shared" si="0"/>
        <v>8.25</v>
      </c>
      <c r="J9" s="10">
        <f t="shared" si="0"/>
        <v>8.25</v>
      </c>
      <c r="K9" s="10">
        <f t="shared" si="0"/>
        <v>8.25</v>
      </c>
      <c r="L9" s="10">
        <f t="shared" si="0"/>
        <v>0</v>
      </c>
      <c r="M9" s="10">
        <f t="shared" si="0"/>
        <v>0</v>
      </c>
    </row>
    <row r="10" spans="1:13" ht="12.75">
      <c r="A10" s="6">
        <v>6</v>
      </c>
      <c r="B10" s="1" t="s">
        <v>558</v>
      </c>
      <c r="C10" s="2" t="s">
        <v>39</v>
      </c>
      <c r="D10" s="2" t="s">
        <v>85</v>
      </c>
      <c r="E10" s="32" t="s">
        <v>557</v>
      </c>
      <c r="F10" s="12">
        <v>85.05</v>
      </c>
      <c r="G10" s="13">
        <v>2017</v>
      </c>
      <c r="I10" s="10">
        <f t="shared" si="0"/>
        <v>85.05</v>
      </c>
      <c r="J10" s="10">
        <f t="shared" si="0"/>
        <v>85.05</v>
      </c>
      <c r="K10" s="10">
        <f t="shared" si="0"/>
        <v>0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21" t="s">
        <v>438</v>
      </c>
      <c r="C11" s="2" t="s">
        <v>40</v>
      </c>
      <c r="D11" s="30" t="s">
        <v>70</v>
      </c>
      <c r="E11" s="30" t="s">
        <v>427</v>
      </c>
      <c r="F11" s="12">
        <v>30.3</v>
      </c>
      <c r="G11" s="13">
        <v>2017</v>
      </c>
      <c r="I11" s="10">
        <f t="shared" si="0"/>
        <v>30.3</v>
      </c>
      <c r="J11" s="10">
        <f t="shared" si="0"/>
        <v>30.3</v>
      </c>
      <c r="K11" s="10">
        <f t="shared" si="0"/>
        <v>0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214</v>
      </c>
      <c r="C12" s="30" t="s">
        <v>40</v>
      </c>
      <c r="D12" s="30" t="s">
        <v>73</v>
      </c>
      <c r="E12" s="32" t="s">
        <v>373</v>
      </c>
      <c r="F12" s="8">
        <v>6.35</v>
      </c>
      <c r="G12" s="9">
        <v>2017</v>
      </c>
      <c r="I12" s="10">
        <f t="shared" si="0"/>
        <v>6.35</v>
      </c>
      <c r="J12" s="10">
        <f t="shared" si="0"/>
        <v>6.35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665</v>
      </c>
      <c r="C13" s="30" t="s">
        <v>43</v>
      </c>
      <c r="D13" s="30" t="s">
        <v>87</v>
      </c>
      <c r="E13" s="7" t="s">
        <v>557</v>
      </c>
      <c r="F13" s="12">
        <v>3.8</v>
      </c>
      <c r="G13" s="13">
        <v>2017</v>
      </c>
      <c r="I13" s="10">
        <f t="shared" si="0"/>
        <v>3.8</v>
      </c>
      <c r="J13" s="10">
        <f t="shared" si="0"/>
        <v>3.8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215</v>
      </c>
      <c r="C14" s="2" t="s">
        <v>41</v>
      </c>
      <c r="D14" s="2" t="s">
        <v>60</v>
      </c>
      <c r="E14" s="7" t="s">
        <v>373</v>
      </c>
      <c r="F14" s="12">
        <v>2.55</v>
      </c>
      <c r="G14" s="13">
        <v>2017</v>
      </c>
      <c r="I14" s="10">
        <f t="shared" si="0"/>
        <v>2.55</v>
      </c>
      <c r="J14" s="10">
        <f t="shared" si="0"/>
        <v>2.55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310</v>
      </c>
      <c r="C15" s="2" t="s">
        <v>38</v>
      </c>
      <c r="D15" s="2" t="s">
        <v>63</v>
      </c>
      <c r="E15" s="32" t="s">
        <v>372</v>
      </c>
      <c r="F15" s="12">
        <v>82.25</v>
      </c>
      <c r="G15" s="13">
        <v>2016</v>
      </c>
      <c r="I15" s="10">
        <f aca="true" t="shared" si="1" ref="I15:M29">+IF($G15&gt;=I$3,$F15,0)</f>
        <v>82.25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765</v>
      </c>
      <c r="C16" s="30" t="s">
        <v>43</v>
      </c>
      <c r="D16" s="30" t="s">
        <v>59</v>
      </c>
      <c r="E16" s="32" t="s">
        <v>691</v>
      </c>
      <c r="F16" s="8">
        <v>3</v>
      </c>
      <c r="G16" s="9">
        <v>2016</v>
      </c>
      <c r="I16" s="10">
        <f t="shared" si="1"/>
        <v>3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768</v>
      </c>
      <c r="C17" s="2" t="s">
        <v>39</v>
      </c>
      <c r="D17" s="2" t="s">
        <v>82</v>
      </c>
      <c r="E17" s="32" t="s">
        <v>691</v>
      </c>
      <c r="F17" s="8">
        <v>3</v>
      </c>
      <c r="G17" s="9">
        <v>2016</v>
      </c>
      <c r="I17" s="10">
        <f t="shared" si="1"/>
        <v>3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766</v>
      </c>
      <c r="C18" s="2" t="s">
        <v>39</v>
      </c>
      <c r="D18" s="2" t="s">
        <v>67</v>
      </c>
      <c r="E18" s="32" t="s">
        <v>691</v>
      </c>
      <c r="F18" s="8">
        <v>3</v>
      </c>
      <c r="G18" s="9">
        <v>2016</v>
      </c>
      <c r="I18" s="10">
        <f t="shared" si="1"/>
        <v>3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640</v>
      </c>
      <c r="C19" s="2" t="s">
        <v>44</v>
      </c>
      <c r="D19" s="2" t="s">
        <v>58</v>
      </c>
      <c r="E19" s="7" t="s">
        <v>557</v>
      </c>
      <c r="F19" s="8">
        <v>3</v>
      </c>
      <c r="G19" s="9">
        <v>2016</v>
      </c>
      <c r="I19" s="10">
        <f t="shared" si="1"/>
        <v>3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664</v>
      </c>
      <c r="C20" s="30" t="s">
        <v>43</v>
      </c>
      <c r="D20" s="30" t="s">
        <v>83</v>
      </c>
      <c r="E20" s="32" t="s">
        <v>557</v>
      </c>
      <c r="F20" s="12">
        <v>3</v>
      </c>
      <c r="G20" s="13">
        <v>2016</v>
      </c>
      <c r="I20" s="10">
        <f t="shared" si="1"/>
        <v>3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666</v>
      </c>
      <c r="C21" s="30" t="s">
        <v>42</v>
      </c>
      <c r="D21" s="30" t="s">
        <v>87</v>
      </c>
      <c r="E21" s="7" t="s">
        <v>557</v>
      </c>
      <c r="F21" s="12">
        <v>3</v>
      </c>
      <c r="G21" s="13">
        <v>2016</v>
      </c>
      <c r="I21" s="10">
        <f t="shared" si="1"/>
        <v>3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767</v>
      </c>
      <c r="C22" s="30" t="s">
        <v>43</v>
      </c>
      <c r="D22" s="30" t="s">
        <v>58</v>
      </c>
      <c r="E22" s="32" t="s">
        <v>691</v>
      </c>
      <c r="F22" s="8">
        <v>3</v>
      </c>
      <c r="G22" s="9">
        <v>2016</v>
      </c>
      <c r="I22" s="10">
        <f t="shared" si="1"/>
        <v>3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763</v>
      </c>
      <c r="C23" s="2" t="s">
        <v>44</v>
      </c>
      <c r="D23" s="30" t="s">
        <v>65</v>
      </c>
      <c r="E23" s="7" t="s">
        <v>691</v>
      </c>
      <c r="F23" s="12">
        <v>3</v>
      </c>
      <c r="G23" s="13">
        <v>2016</v>
      </c>
      <c r="I23" s="10">
        <f t="shared" si="1"/>
        <v>3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764</v>
      </c>
      <c r="C24" s="2" t="s">
        <v>44</v>
      </c>
      <c r="D24" s="2" t="s">
        <v>60</v>
      </c>
      <c r="E24" s="32" t="s">
        <v>691</v>
      </c>
      <c r="F24" s="8">
        <v>3</v>
      </c>
      <c r="G24" s="9">
        <v>2016</v>
      </c>
      <c r="I24" s="10">
        <f t="shared" si="1"/>
        <v>3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716</v>
      </c>
      <c r="C25" s="2" t="s">
        <v>40</v>
      </c>
      <c r="D25" s="2" t="s">
        <v>86</v>
      </c>
      <c r="E25" s="7" t="s">
        <v>691</v>
      </c>
      <c r="F25" s="8">
        <v>3</v>
      </c>
      <c r="G25" s="9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721</v>
      </c>
      <c r="C26" s="30" t="s">
        <v>41</v>
      </c>
      <c r="D26" s="30" t="s">
        <v>83</v>
      </c>
      <c r="E26" s="32" t="s">
        <v>691</v>
      </c>
      <c r="F26" s="12">
        <v>3</v>
      </c>
      <c r="G26" s="13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627</v>
      </c>
      <c r="C27" s="2" t="s">
        <v>42</v>
      </c>
      <c r="D27" s="2" t="s">
        <v>68</v>
      </c>
      <c r="E27" s="7" t="s">
        <v>691</v>
      </c>
      <c r="F27" s="12">
        <v>3</v>
      </c>
      <c r="G27" s="13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230</v>
      </c>
      <c r="C28" s="2" t="s">
        <v>43</v>
      </c>
      <c r="D28" s="2" t="s">
        <v>89</v>
      </c>
      <c r="E28" s="7" t="s">
        <v>691</v>
      </c>
      <c r="F28" s="12">
        <v>3</v>
      </c>
      <c r="G28" s="13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724</v>
      </c>
      <c r="C29" s="2" t="s">
        <v>40</v>
      </c>
      <c r="D29" s="2" t="s">
        <v>58</v>
      </c>
      <c r="E29" s="7" t="s">
        <v>691</v>
      </c>
      <c r="F29" s="8">
        <v>3</v>
      </c>
      <c r="G29" s="9">
        <v>2016</v>
      </c>
      <c r="I29" s="10">
        <f t="shared" si="1"/>
        <v>3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1"/>
      <c r="D31" s="2"/>
      <c r="E31" s="2"/>
      <c r="F31" s="12"/>
      <c r="G31" s="13"/>
      <c r="I31" s="15">
        <f>+SUM(I5:I29)</f>
        <v>285</v>
      </c>
      <c r="J31" s="15">
        <f>+SUM(J5:J29)</f>
        <v>160.75000000000003</v>
      </c>
      <c r="K31" s="15">
        <f>+SUM(K5:K29)</f>
        <v>32.7</v>
      </c>
      <c r="L31" s="15">
        <f>+SUM(L5:L29)</f>
        <v>24.45</v>
      </c>
      <c r="M31" s="15">
        <f>+SUM(M5:M29)</f>
        <v>15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314</v>
      </c>
      <c r="C37" s="30" t="s">
        <v>39</v>
      </c>
      <c r="D37" s="30" t="s">
        <v>57</v>
      </c>
      <c r="E37" s="32">
        <v>2015</v>
      </c>
      <c r="F37" s="8">
        <v>2.75</v>
      </c>
      <c r="G37" s="9">
        <v>2018</v>
      </c>
      <c r="I37" s="10">
        <f aca="true" t="shared" si="2" ref="I37:I51">+CEILING(IF($I$35=E37,F37,IF($I$35&lt;=G37,F37*0.3,0)),0.05)</f>
        <v>0.8500000000000001</v>
      </c>
      <c r="J37" s="10">
        <f aca="true" t="shared" si="3" ref="J37:J51">+CEILING(IF($J$35&lt;=G37,F37*0.3,0),0.05)</f>
        <v>0.8500000000000001</v>
      </c>
      <c r="K37" s="10">
        <f aca="true" t="shared" si="4" ref="K37:K51">+CEILING(IF($K$35&lt;=G37,F37*0.3,0),0.05)</f>
        <v>0.8500000000000001</v>
      </c>
      <c r="L37" s="10">
        <f aca="true" t="shared" si="5" ref="L37:L51">+CEILING(IF($L$35&lt;=G37,F37*0.3,0),0.05)</f>
        <v>0</v>
      </c>
      <c r="M37" s="10">
        <f aca="true" t="shared" si="6" ref="M37:M51">CEILING(IF($M$35&lt;=G37,F37*0.3,0),0.05)</f>
        <v>0</v>
      </c>
    </row>
    <row r="38" spans="1:13" ht="12.75">
      <c r="A38" s="6">
        <v>2</v>
      </c>
      <c r="B38" s="31" t="s">
        <v>673</v>
      </c>
      <c r="C38" s="2" t="s">
        <v>43</v>
      </c>
      <c r="D38" s="2" t="s">
        <v>62</v>
      </c>
      <c r="E38" s="32">
        <v>2016</v>
      </c>
      <c r="F38" s="8">
        <v>5.1</v>
      </c>
      <c r="G38" s="9">
        <v>2016</v>
      </c>
      <c r="I38" s="10">
        <f t="shared" si="2"/>
        <v>5.1000000000000005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128</v>
      </c>
      <c r="C39" s="30" t="s">
        <v>40</v>
      </c>
      <c r="D39" s="30" t="s">
        <v>88</v>
      </c>
      <c r="E39" s="32">
        <v>2016</v>
      </c>
      <c r="F39" s="8">
        <v>4.7</v>
      </c>
      <c r="G39" s="9">
        <v>2016</v>
      </c>
      <c r="I39" s="10">
        <f t="shared" si="2"/>
        <v>4.7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671</v>
      </c>
      <c r="C40" s="30" t="s">
        <v>43</v>
      </c>
      <c r="D40" s="30" t="s">
        <v>70</v>
      </c>
      <c r="E40" s="32">
        <v>2016</v>
      </c>
      <c r="F40" s="8">
        <v>3.25</v>
      </c>
      <c r="G40" s="9">
        <v>2016</v>
      </c>
      <c r="I40" s="10">
        <f t="shared" si="2"/>
        <v>3.25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672</v>
      </c>
      <c r="C41" s="2" t="s">
        <v>44</v>
      </c>
      <c r="D41" s="30" t="s">
        <v>87</v>
      </c>
      <c r="E41" s="7">
        <v>2016</v>
      </c>
      <c r="F41" s="12">
        <v>3</v>
      </c>
      <c r="G41" s="13">
        <v>2016</v>
      </c>
      <c r="I41" s="10">
        <f t="shared" si="2"/>
        <v>3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749</v>
      </c>
      <c r="C42" s="2" t="s">
        <v>38</v>
      </c>
      <c r="D42" s="2" t="s">
        <v>88</v>
      </c>
      <c r="E42" s="7">
        <v>2016</v>
      </c>
      <c r="F42" s="12">
        <v>3</v>
      </c>
      <c r="G42" s="13">
        <v>2016</v>
      </c>
      <c r="I42" s="10">
        <f t="shared" si="2"/>
        <v>3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362</v>
      </c>
      <c r="C43" s="2" t="s">
        <v>41</v>
      </c>
      <c r="D43" s="2" t="s">
        <v>57</v>
      </c>
      <c r="E43" s="32">
        <v>2016</v>
      </c>
      <c r="F43" s="8">
        <v>2.75</v>
      </c>
      <c r="G43" s="9">
        <v>2016</v>
      </c>
      <c r="I43" s="10">
        <f t="shared" si="2"/>
        <v>2.75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354</v>
      </c>
      <c r="C44" s="2" t="s">
        <v>39</v>
      </c>
      <c r="D44" s="2" t="s">
        <v>84</v>
      </c>
      <c r="E44" s="32">
        <v>2016</v>
      </c>
      <c r="F44" s="8">
        <v>2.75</v>
      </c>
      <c r="G44" s="9">
        <v>2016</v>
      </c>
      <c r="I44" s="10">
        <f t="shared" si="2"/>
        <v>2.75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262</v>
      </c>
      <c r="C45" s="30" t="s">
        <v>39</v>
      </c>
      <c r="D45" s="30" t="s">
        <v>82</v>
      </c>
      <c r="E45" s="32">
        <v>2013</v>
      </c>
      <c r="F45" s="8">
        <v>2.55</v>
      </c>
      <c r="G45" s="9">
        <v>2016</v>
      </c>
      <c r="I45" s="10">
        <f t="shared" si="2"/>
        <v>0.8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154</v>
      </c>
      <c r="C46" s="30" t="s">
        <v>40</v>
      </c>
      <c r="D46" s="30" t="s">
        <v>89</v>
      </c>
      <c r="E46" s="32">
        <v>2013</v>
      </c>
      <c r="F46" s="8">
        <v>2.35</v>
      </c>
      <c r="G46" s="9">
        <v>2016</v>
      </c>
      <c r="I46" s="10">
        <f t="shared" si="2"/>
        <v>0.75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/>
      <c r="D47" s="2"/>
      <c r="E47" s="32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1"/>
      <c r="D48" s="2"/>
      <c r="E48" s="7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1"/>
      <c r="D49" s="2"/>
      <c r="E49" s="7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D50" s="2"/>
      <c r="E50" s="7"/>
      <c r="F50" s="12"/>
      <c r="G50" s="13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D51" s="2"/>
      <c r="E51" s="32"/>
      <c r="F51" s="12"/>
      <c r="G51" s="13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D52" s="2"/>
      <c r="E52" s="2"/>
      <c r="F52" s="8"/>
      <c r="G52" s="9"/>
      <c r="I52" s="10">
        <f>+CEILING(IF($I$35=E52,F52,IF($I$35&lt;=G52,F52*0.3,0)),0.05)</f>
        <v>0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D53" s="2"/>
      <c r="E53" s="2"/>
      <c r="F53" s="8"/>
      <c r="G53" s="9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D54" s="2"/>
      <c r="E54" s="7"/>
      <c r="F54" s="12"/>
      <c r="G54" s="13"/>
      <c r="I54" s="10">
        <f>+CEILING(IF($I$35=E54,F54,IF($I$35&lt;=G54,F54*0.3,0)),0.05)</f>
        <v>0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9:13" ht="7.5" customHeight="1">
      <c r="I55" s="14"/>
      <c r="J55" s="14"/>
      <c r="K55" s="14"/>
      <c r="L55" s="14"/>
      <c r="M55" s="14"/>
    </row>
    <row r="56" spans="9:13" ht="12.75">
      <c r="I56" s="15">
        <f>+SUM(I37:I55)</f>
        <v>26.950000000000003</v>
      </c>
      <c r="J56" s="15">
        <f>+SUM(J37:J55)</f>
        <v>0.8500000000000001</v>
      </c>
      <c r="K56" s="15">
        <f>+SUM(K37:K55)</f>
        <v>0.8500000000000001</v>
      </c>
      <c r="L56" s="15">
        <f>+SUM(L37:L55)</f>
        <v>0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575</v>
      </c>
      <c r="C5" s="2" t="s">
        <v>41</v>
      </c>
      <c r="D5" s="2" t="s">
        <v>55</v>
      </c>
      <c r="E5" s="7" t="s">
        <v>557</v>
      </c>
      <c r="F5" s="8">
        <v>25.7</v>
      </c>
      <c r="G5" s="13">
        <v>2020</v>
      </c>
      <c r="I5" s="10">
        <f aca="true" t="shared" si="0" ref="I5:M14">+IF($G5&gt;=I$3,$F5,0)</f>
        <v>25.7</v>
      </c>
      <c r="J5" s="10">
        <f t="shared" si="0"/>
        <v>25.7</v>
      </c>
      <c r="K5" s="10">
        <f t="shared" si="0"/>
        <v>25.7</v>
      </c>
      <c r="L5" s="10">
        <f t="shared" si="0"/>
        <v>25.7</v>
      </c>
      <c r="M5" s="10">
        <f t="shared" si="0"/>
        <v>25.7</v>
      </c>
    </row>
    <row r="6" spans="1:13" ht="12.75">
      <c r="A6" s="6">
        <v>2</v>
      </c>
      <c r="B6" s="31" t="s">
        <v>651</v>
      </c>
      <c r="C6" s="2" t="s">
        <v>39</v>
      </c>
      <c r="D6" s="2" t="s">
        <v>58</v>
      </c>
      <c r="E6" s="7" t="s">
        <v>557</v>
      </c>
      <c r="F6" s="8">
        <v>18.25</v>
      </c>
      <c r="G6" s="13">
        <v>2020</v>
      </c>
      <c r="I6" s="10">
        <f t="shared" si="0"/>
        <v>18.25</v>
      </c>
      <c r="J6" s="10">
        <f t="shared" si="0"/>
        <v>18.25</v>
      </c>
      <c r="K6" s="10">
        <f t="shared" si="0"/>
        <v>18.25</v>
      </c>
      <c r="L6" s="10">
        <f t="shared" si="0"/>
        <v>18.25</v>
      </c>
      <c r="M6" s="10">
        <f t="shared" si="0"/>
        <v>18.25</v>
      </c>
    </row>
    <row r="7" spans="1:13" ht="12.75">
      <c r="A7" s="6">
        <v>3</v>
      </c>
      <c r="B7" s="31" t="s">
        <v>519</v>
      </c>
      <c r="C7" s="2" t="s">
        <v>40</v>
      </c>
      <c r="D7" s="2" t="s">
        <v>68</v>
      </c>
      <c r="E7" s="2" t="s">
        <v>515</v>
      </c>
      <c r="F7" s="8">
        <v>18</v>
      </c>
      <c r="G7" s="9">
        <v>2020</v>
      </c>
      <c r="I7" s="10">
        <f t="shared" si="0"/>
        <v>18</v>
      </c>
      <c r="J7" s="10">
        <f t="shared" si="0"/>
        <v>18</v>
      </c>
      <c r="K7" s="10">
        <f t="shared" si="0"/>
        <v>18</v>
      </c>
      <c r="L7" s="10">
        <f t="shared" si="0"/>
        <v>18</v>
      </c>
      <c r="M7" s="10">
        <f t="shared" si="0"/>
        <v>18</v>
      </c>
    </row>
    <row r="8" spans="1:13" ht="12.75">
      <c r="A8" s="6">
        <v>4</v>
      </c>
      <c r="B8" s="31" t="s">
        <v>650</v>
      </c>
      <c r="C8" s="2" t="s">
        <v>38</v>
      </c>
      <c r="D8" s="30" t="s">
        <v>86</v>
      </c>
      <c r="E8" s="2" t="s">
        <v>557</v>
      </c>
      <c r="F8" s="12">
        <v>5.25</v>
      </c>
      <c r="G8" s="13">
        <v>2020</v>
      </c>
      <c r="I8" s="10">
        <f t="shared" si="0"/>
        <v>5.25</v>
      </c>
      <c r="J8" s="10">
        <f t="shared" si="0"/>
        <v>5.25</v>
      </c>
      <c r="K8" s="10">
        <f t="shared" si="0"/>
        <v>5.25</v>
      </c>
      <c r="L8" s="10">
        <f t="shared" si="0"/>
        <v>5.25</v>
      </c>
      <c r="M8" s="10">
        <f t="shared" si="0"/>
        <v>5.25</v>
      </c>
    </row>
    <row r="9" spans="1:13" ht="12.75">
      <c r="A9" s="6">
        <v>5</v>
      </c>
      <c r="B9" s="31" t="s">
        <v>544</v>
      </c>
      <c r="C9" s="2" t="s">
        <v>40</v>
      </c>
      <c r="D9" s="2" t="s">
        <v>55</v>
      </c>
      <c r="E9" s="2" t="s">
        <v>515</v>
      </c>
      <c r="F9" s="8">
        <v>3</v>
      </c>
      <c r="G9" s="9">
        <v>2020</v>
      </c>
      <c r="I9" s="10">
        <f t="shared" si="0"/>
        <v>3</v>
      </c>
      <c r="J9" s="10">
        <f t="shared" si="0"/>
        <v>3</v>
      </c>
      <c r="K9" s="10">
        <f t="shared" si="0"/>
        <v>3</v>
      </c>
      <c r="L9" s="10">
        <f t="shared" si="0"/>
        <v>3</v>
      </c>
      <c r="M9" s="10">
        <f t="shared" si="0"/>
        <v>3</v>
      </c>
    </row>
    <row r="10" spans="1:13" ht="12.75">
      <c r="A10" s="6">
        <v>6</v>
      </c>
      <c r="B10" s="31" t="s">
        <v>504</v>
      </c>
      <c r="C10" s="2" t="s">
        <v>40</v>
      </c>
      <c r="D10" s="2" t="s">
        <v>78</v>
      </c>
      <c r="E10" s="7" t="s">
        <v>427</v>
      </c>
      <c r="F10" s="8">
        <v>4.25</v>
      </c>
      <c r="G10" s="13">
        <v>2019</v>
      </c>
      <c r="I10" s="10">
        <f t="shared" si="0"/>
        <v>4.25</v>
      </c>
      <c r="J10" s="10">
        <f t="shared" si="0"/>
        <v>4.25</v>
      </c>
      <c r="K10" s="10">
        <f t="shared" si="0"/>
        <v>4.25</v>
      </c>
      <c r="L10" s="10">
        <f t="shared" si="0"/>
        <v>4.25</v>
      </c>
      <c r="M10" s="10">
        <f t="shared" si="0"/>
        <v>0</v>
      </c>
    </row>
    <row r="11" spans="1:13" ht="12.75">
      <c r="A11" s="6">
        <v>7</v>
      </c>
      <c r="B11" s="31" t="s">
        <v>411</v>
      </c>
      <c r="C11" s="2" t="s">
        <v>39</v>
      </c>
      <c r="D11" s="2" t="s">
        <v>88</v>
      </c>
      <c r="E11" s="7" t="s">
        <v>386</v>
      </c>
      <c r="F11" s="8">
        <v>3.65</v>
      </c>
      <c r="G11" s="9">
        <v>2019</v>
      </c>
      <c r="I11" s="10">
        <f t="shared" si="0"/>
        <v>3.65</v>
      </c>
      <c r="J11" s="10">
        <f t="shared" si="0"/>
        <v>3.65</v>
      </c>
      <c r="K11" s="10">
        <f t="shared" si="0"/>
        <v>3.65</v>
      </c>
      <c r="L11" s="10">
        <f t="shared" si="0"/>
        <v>3.65</v>
      </c>
      <c r="M11" s="10">
        <f t="shared" si="0"/>
        <v>0</v>
      </c>
    </row>
    <row r="12" spans="1:13" ht="12.75">
      <c r="A12" s="6">
        <v>8</v>
      </c>
      <c r="B12" s="31" t="s">
        <v>421</v>
      </c>
      <c r="C12" s="30" t="s">
        <v>43</v>
      </c>
      <c r="D12" s="30" t="s">
        <v>64</v>
      </c>
      <c r="E12" s="2" t="s">
        <v>386</v>
      </c>
      <c r="F12" s="8">
        <v>2.9</v>
      </c>
      <c r="G12" s="9">
        <v>2019</v>
      </c>
      <c r="I12" s="10">
        <f t="shared" si="0"/>
        <v>2.9</v>
      </c>
      <c r="J12" s="10">
        <f t="shared" si="0"/>
        <v>2.9</v>
      </c>
      <c r="K12" s="10">
        <f t="shared" si="0"/>
        <v>2.9</v>
      </c>
      <c r="L12" s="10">
        <f t="shared" si="0"/>
        <v>2.9</v>
      </c>
      <c r="M12" s="10">
        <f t="shared" si="0"/>
        <v>0</v>
      </c>
    </row>
    <row r="13" spans="1:13" ht="12.75">
      <c r="A13" s="6">
        <v>9</v>
      </c>
      <c r="B13" s="1" t="s">
        <v>121</v>
      </c>
      <c r="C13" s="2" t="s">
        <v>42</v>
      </c>
      <c r="D13" s="2" t="s">
        <v>62</v>
      </c>
      <c r="E13" s="2" t="s">
        <v>427</v>
      </c>
      <c r="F13" s="8">
        <v>2.9</v>
      </c>
      <c r="G13" s="9">
        <v>2019</v>
      </c>
      <c r="I13" s="10">
        <f t="shared" si="0"/>
        <v>2.9</v>
      </c>
      <c r="J13" s="10">
        <f t="shared" si="0"/>
        <v>2.9</v>
      </c>
      <c r="K13" s="10">
        <f t="shared" si="0"/>
        <v>2.9</v>
      </c>
      <c r="L13" s="10">
        <f t="shared" si="0"/>
        <v>2.9</v>
      </c>
      <c r="M13" s="10">
        <f t="shared" si="0"/>
        <v>0</v>
      </c>
    </row>
    <row r="14" spans="1:13" ht="12.75">
      <c r="A14" s="6">
        <v>10</v>
      </c>
      <c r="B14" s="31" t="s">
        <v>614</v>
      </c>
      <c r="C14" s="30" t="s">
        <v>40</v>
      </c>
      <c r="D14" s="30" t="s">
        <v>63</v>
      </c>
      <c r="E14" s="30" t="s">
        <v>557</v>
      </c>
      <c r="F14" s="8">
        <v>46.7</v>
      </c>
      <c r="G14" s="9">
        <v>2018</v>
      </c>
      <c r="I14" s="10">
        <f t="shared" si="0"/>
        <v>46.7</v>
      </c>
      <c r="J14" s="10">
        <f t="shared" si="0"/>
        <v>46.7</v>
      </c>
      <c r="K14" s="10">
        <f t="shared" si="0"/>
        <v>46.7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762</v>
      </c>
      <c r="C15" s="30" t="s">
        <v>39</v>
      </c>
      <c r="D15" s="30" t="s">
        <v>86</v>
      </c>
      <c r="E15" s="7" t="s">
        <v>691</v>
      </c>
      <c r="F15" s="8">
        <v>3</v>
      </c>
      <c r="G15" s="11">
        <v>2018</v>
      </c>
      <c r="I15" s="10">
        <f aca="true" t="shared" si="1" ref="I15:M29">+IF($G15&gt;=I$3,$F15,0)</f>
        <v>3</v>
      </c>
      <c r="J15" s="10">
        <f t="shared" si="1"/>
        <v>3</v>
      </c>
      <c r="K15" s="10">
        <f t="shared" si="1"/>
        <v>3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320</v>
      </c>
      <c r="C16" s="2" t="s">
        <v>43</v>
      </c>
      <c r="D16" s="30" t="s">
        <v>83</v>
      </c>
      <c r="E16" s="2" t="s">
        <v>371</v>
      </c>
      <c r="F16" s="12">
        <v>2.75</v>
      </c>
      <c r="G16" s="13">
        <v>2018</v>
      </c>
      <c r="I16" s="10">
        <f t="shared" si="1"/>
        <v>2.75</v>
      </c>
      <c r="J16" s="10">
        <f t="shared" si="1"/>
        <v>2.75</v>
      </c>
      <c r="K16" s="10">
        <f t="shared" si="1"/>
        <v>2.75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341</v>
      </c>
      <c r="C17" s="2" t="s">
        <v>44</v>
      </c>
      <c r="D17" s="2" t="s">
        <v>88</v>
      </c>
      <c r="E17" s="7" t="s">
        <v>372</v>
      </c>
      <c r="F17" s="8">
        <v>2.75</v>
      </c>
      <c r="G17" s="9">
        <v>2018</v>
      </c>
      <c r="I17" s="10">
        <f t="shared" si="1"/>
        <v>2.75</v>
      </c>
      <c r="J17" s="10">
        <f t="shared" si="1"/>
        <v>2.75</v>
      </c>
      <c r="K17" s="10">
        <f t="shared" si="1"/>
        <v>2.75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324</v>
      </c>
      <c r="C18" s="2" t="s">
        <v>41</v>
      </c>
      <c r="D18" s="2" t="s">
        <v>59</v>
      </c>
      <c r="E18" s="7" t="s">
        <v>371</v>
      </c>
      <c r="F18" s="8">
        <v>2.75</v>
      </c>
      <c r="G18" s="9">
        <v>2018</v>
      </c>
      <c r="I18" s="10">
        <f t="shared" si="1"/>
        <v>2.75</v>
      </c>
      <c r="J18" s="10">
        <f t="shared" si="1"/>
        <v>2.75</v>
      </c>
      <c r="K18" s="10">
        <f t="shared" si="1"/>
        <v>2.75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483</v>
      </c>
      <c r="C19" s="2" t="s">
        <v>40</v>
      </c>
      <c r="D19" s="2" t="s">
        <v>71</v>
      </c>
      <c r="E19" s="2" t="s">
        <v>427</v>
      </c>
      <c r="F19" s="12">
        <v>17</v>
      </c>
      <c r="G19" s="13">
        <v>2017</v>
      </c>
      <c r="I19" s="10">
        <f t="shared" si="1"/>
        <v>17</v>
      </c>
      <c r="J19" s="10">
        <f t="shared" si="1"/>
        <v>17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479</v>
      </c>
      <c r="C20" s="2" t="s">
        <v>38</v>
      </c>
      <c r="D20" s="2" t="s">
        <v>89</v>
      </c>
      <c r="E20" s="2" t="s">
        <v>427</v>
      </c>
      <c r="F20" s="8">
        <v>11.15</v>
      </c>
      <c r="G20" s="9">
        <v>2017</v>
      </c>
      <c r="I20" s="10">
        <f t="shared" si="1"/>
        <v>11.15</v>
      </c>
      <c r="J20" s="10">
        <f t="shared" si="1"/>
        <v>11.15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244</v>
      </c>
      <c r="C21" s="2" t="s">
        <v>43</v>
      </c>
      <c r="D21" s="2" t="s">
        <v>57</v>
      </c>
      <c r="E21" s="2" t="s">
        <v>56</v>
      </c>
      <c r="F21" s="8">
        <v>5.8</v>
      </c>
      <c r="G21" s="9">
        <v>2017</v>
      </c>
      <c r="I21" s="10">
        <f t="shared" si="1"/>
        <v>5.8</v>
      </c>
      <c r="J21" s="10">
        <f t="shared" si="1"/>
        <v>5.8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761</v>
      </c>
      <c r="C22" s="2" t="s">
        <v>44</v>
      </c>
      <c r="D22" s="2" t="s">
        <v>84</v>
      </c>
      <c r="E22" s="7" t="s">
        <v>691</v>
      </c>
      <c r="F22" s="8">
        <v>3</v>
      </c>
      <c r="G22" s="13">
        <v>2016</v>
      </c>
      <c r="I22" s="10">
        <f t="shared" si="1"/>
        <v>3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212</v>
      </c>
      <c r="C23" s="2" t="s">
        <v>39</v>
      </c>
      <c r="D23" s="2" t="s">
        <v>89</v>
      </c>
      <c r="E23" s="7" t="s">
        <v>691</v>
      </c>
      <c r="F23" s="8">
        <v>3</v>
      </c>
      <c r="G23" s="13">
        <v>2016</v>
      </c>
      <c r="I23" s="10">
        <f t="shared" si="1"/>
        <v>3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757</v>
      </c>
      <c r="C24" s="2" t="s">
        <v>43</v>
      </c>
      <c r="D24" s="30" t="s">
        <v>85</v>
      </c>
      <c r="E24" s="2" t="s">
        <v>691</v>
      </c>
      <c r="F24" s="12">
        <v>3</v>
      </c>
      <c r="G24" s="13">
        <v>2016</v>
      </c>
      <c r="I24" s="10">
        <f t="shared" si="1"/>
        <v>3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760</v>
      </c>
      <c r="C25" s="30" t="s">
        <v>43</v>
      </c>
      <c r="D25" s="30" t="s">
        <v>55</v>
      </c>
      <c r="E25" s="30" t="s">
        <v>691</v>
      </c>
      <c r="F25" s="12">
        <v>3</v>
      </c>
      <c r="G25" s="13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264</v>
      </c>
      <c r="C26" s="2" t="s">
        <v>40</v>
      </c>
      <c r="D26" s="2" t="s">
        <v>89</v>
      </c>
      <c r="E26" s="7" t="s">
        <v>691</v>
      </c>
      <c r="F26" s="8">
        <v>3</v>
      </c>
      <c r="G26" s="9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704</v>
      </c>
      <c r="C27" s="2" t="s">
        <v>44</v>
      </c>
      <c r="D27" s="2" t="s">
        <v>71</v>
      </c>
      <c r="E27" s="2" t="s">
        <v>691</v>
      </c>
      <c r="F27" s="8">
        <v>3</v>
      </c>
      <c r="G27" s="9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707</v>
      </c>
      <c r="C28" s="2" t="s">
        <v>42</v>
      </c>
      <c r="D28" s="2" t="s">
        <v>72</v>
      </c>
      <c r="E28" s="7" t="s">
        <v>691</v>
      </c>
      <c r="F28" s="8">
        <v>3</v>
      </c>
      <c r="G28" s="9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151</v>
      </c>
      <c r="C29" s="30" t="s">
        <v>43</v>
      </c>
      <c r="D29" s="30" t="s">
        <v>73</v>
      </c>
      <c r="E29" s="30" t="s">
        <v>56</v>
      </c>
      <c r="F29" s="8">
        <v>2.35</v>
      </c>
      <c r="G29" s="9">
        <v>2016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8"/>
      <c r="G31" s="9"/>
      <c r="I31" s="15">
        <f>+SUM(I5:I29)</f>
        <v>199.15000000000003</v>
      </c>
      <c r="J31" s="15">
        <f>+SUM(J5:J29)</f>
        <v>175.80000000000004</v>
      </c>
      <c r="K31" s="15">
        <f>+SUM(K5:K29)</f>
        <v>141.85000000000002</v>
      </c>
      <c r="L31" s="15">
        <f>+SUM(L5:L29)</f>
        <v>83.90000000000002</v>
      </c>
      <c r="M31" s="15">
        <f>+SUM(M5:M29)</f>
        <v>70.2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453</v>
      </c>
      <c r="C37" s="2" t="s">
        <v>44</v>
      </c>
      <c r="D37" s="2" t="s">
        <v>81</v>
      </c>
      <c r="E37" s="2">
        <v>2016</v>
      </c>
      <c r="F37" s="8">
        <v>5.5</v>
      </c>
      <c r="G37" s="13">
        <v>2019</v>
      </c>
      <c r="I37" s="10">
        <f aca="true" t="shared" si="2" ref="I37:I51">+CEILING(IF($I$35=E37,F37,IF($I$35&lt;=G37,F37*0.3,0)),0.05)</f>
        <v>5.5</v>
      </c>
      <c r="J37" s="10">
        <f aca="true" t="shared" si="3" ref="J37:J51">+CEILING(IF($J$35&lt;=G37,F37*0.3,0),0.05)</f>
        <v>1.6500000000000001</v>
      </c>
      <c r="K37" s="10">
        <f aca="true" t="shared" si="4" ref="K37:K51">+CEILING(IF($K$35&lt;=G37,F37*0.3,0),0.05)</f>
        <v>1.6500000000000001</v>
      </c>
      <c r="L37" s="10">
        <f aca="true" t="shared" si="5" ref="L37:L51">+CEILING(IF($L$35&lt;=G37,F37*0.3,0),0.05)</f>
        <v>1.6500000000000001</v>
      </c>
      <c r="M37" s="10">
        <f aca="true" t="shared" si="6" ref="M37:M51">CEILING(IF($M$35&lt;=G37,F37*0.3,0),0.05)</f>
        <v>0</v>
      </c>
    </row>
    <row r="38" spans="1:13" ht="12.75">
      <c r="A38" s="6">
        <v>2</v>
      </c>
      <c r="B38" s="1" t="s">
        <v>454</v>
      </c>
      <c r="C38" s="2" t="s">
        <v>40</v>
      </c>
      <c r="D38" s="2" t="s">
        <v>79</v>
      </c>
      <c r="E38" s="2">
        <v>2016</v>
      </c>
      <c r="F38" s="8">
        <v>2.9</v>
      </c>
      <c r="G38" s="13">
        <v>2019</v>
      </c>
      <c r="I38" s="10">
        <f t="shared" si="2"/>
        <v>2.9000000000000004</v>
      </c>
      <c r="J38" s="10">
        <f t="shared" si="3"/>
        <v>0.9</v>
      </c>
      <c r="K38" s="10">
        <f t="shared" si="4"/>
        <v>0.9</v>
      </c>
      <c r="L38" s="10">
        <f t="shared" si="5"/>
        <v>0.9</v>
      </c>
      <c r="M38" s="10">
        <f t="shared" si="6"/>
        <v>0</v>
      </c>
    </row>
    <row r="39" spans="1:13" ht="12.75">
      <c r="A39" s="6">
        <v>3</v>
      </c>
      <c r="B39" s="31" t="s">
        <v>297</v>
      </c>
      <c r="C39" s="2" t="s">
        <v>39</v>
      </c>
      <c r="D39" s="30" t="s">
        <v>68</v>
      </c>
      <c r="E39" s="2">
        <v>2016</v>
      </c>
      <c r="F39" s="12">
        <v>4.15</v>
      </c>
      <c r="G39" s="13">
        <v>2018</v>
      </c>
      <c r="I39" s="10">
        <f t="shared" si="2"/>
        <v>4.15</v>
      </c>
      <c r="J39" s="10">
        <f t="shared" si="3"/>
        <v>1.25</v>
      </c>
      <c r="K39" s="10">
        <f t="shared" si="4"/>
        <v>1.25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649</v>
      </c>
      <c r="C40" s="30" t="s">
        <v>39</v>
      </c>
      <c r="D40" s="30" t="s">
        <v>71</v>
      </c>
      <c r="E40" s="7">
        <v>2016</v>
      </c>
      <c r="F40" s="8">
        <v>3</v>
      </c>
      <c r="G40" s="11">
        <v>2018</v>
      </c>
      <c r="I40" s="10">
        <f t="shared" si="2"/>
        <v>3</v>
      </c>
      <c r="J40" s="10">
        <f t="shared" si="3"/>
        <v>0.9</v>
      </c>
      <c r="K40" s="10">
        <f t="shared" si="4"/>
        <v>0.9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382</v>
      </c>
      <c r="C41" s="30" t="s">
        <v>43</v>
      </c>
      <c r="D41" s="30" t="s">
        <v>86</v>
      </c>
      <c r="E41" s="7">
        <v>2015</v>
      </c>
      <c r="F41" s="8">
        <v>2.75</v>
      </c>
      <c r="G41" s="11">
        <v>2018</v>
      </c>
      <c r="I41" s="10">
        <f t="shared" si="2"/>
        <v>0.8500000000000001</v>
      </c>
      <c r="J41" s="10">
        <f t="shared" si="3"/>
        <v>0.8500000000000001</v>
      </c>
      <c r="K41" s="10">
        <f t="shared" si="4"/>
        <v>0.8500000000000001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363</v>
      </c>
      <c r="C42" s="2" t="s">
        <v>44</v>
      </c>
      <c r="D42" s="2" t="s">
        <v>72</v>
      </c>
      <c r="E42" s="2">
        <v>2015</v>
      </c>
      <c r="F42" s="12">
        <v>2.75</v>
      </c>
      <c r="G42" s="13">
        <v>2018</v>
      </c>
      <c r="I42" s="10">
        <f t="shared" si="2"/>
        <v>0.8500000000000001</v>
      </c>
      <c r="J42" s="10">
        <f t="shared" si="3"/>
        <v>0.8500000000000001</v>
      </c>
      <c r="K42" s="10">
        <f t="shared" si="4"/>
        <v>0.8500000000000001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378</v>
      </c>
      <c r="C43" s="2" t="s">
        <v>43</v>
      </c>
      <c r="D43" s="2" t="s">
        <v>64</v>
      </c>
      <c r="E43" s="2">
        <v>2015</v>
      </c>
      <c r="F43" s="12">
        <v>2.75</v>
      </c>
      <c r="G43" s="13">
        <v>2018</v>
      </c>
      <c r="I43" s="10">
        <f t="shared" si="2"/>
        <v>0.8500000000000001</v>
      </c>
      <c r="J43" s="10">
        <f t="shared" si="3"/>
        <v>0.8500000000000001</v>
      </c>
      <c r="K43" s="10">
        <f t="shared" si="4"/>
        <v>0.8500000000000001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" t="s">
        <v>476</v>
      </c>
      <c r="C44" s="2" t="s">
        <v>41</v>
      </c>
      <c r="D44" s="2" t="s">
        <v>78</v>
      </c>
      <c r="E44" s="2">
        <v>2015</v>
      </c>
      <c r="F44" s="12">
        <v>3.65</v>
      </c>
      <c r="G44" s="13">
        <v>2017</v>
      </c>
      <c r="I44" s="10">
        <f t="shared" si="2"/>
        <v>1.1</v>
      </c>
      <c r="J44" s="10">
        <f t="shared" si="3"/>
        <v>1.1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223</v>
      </c>
      <c r="C45" s="2" t="s">
        <v>42</v>
      </c>
      <c r="D45" s="2" t="s">
        <v>80</v>
      </c>
      <c r="E45" s="2">
        <v>2015</v>
      </c>
      <c r="F45" s="8">
        <v>2.55</v>
      </c>
      <c r="G45" s="9">
        <v>2017</v>
      </c>
      <c r="I45" s="10">
        <f t="shared" si="2"/>
        <v>0.8</v>
      </c>
      <c r="J45" s="10">
        <f t="shared" si="3"/>
        <v>0.8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571</v>
      </c>
      <c r="C46" s="30" t="s">
        <v>39</v>
      </c>
      <c r="D46" s="30" t="s">
        <v>58</v>
      </c>
      <c r="E46" s="2">
        <v>2016</v>
      </c>
      <c r="F46" s="12">
        <v>80.25</v>
      </c>
      <c r="G46" s="13">
        <v>2016</v>
      </c>
      <c r="I46" s="10">
        <f t="shared" si="2"/>
        <v>80.25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 t="s">
        <v>352</v>
      </c>
      <c r="C47" s="30" t="s">
        <v>39</v>
      </c>
      <c r="D47" s="30" t="s">
        <v>68</v>
      </c>
      <c r="E47" s="2">
        <v>2014</v>
      </c>
      <c r="F47" s="8">
        <v>49.75</v>
      </c>
      <c r="G47" s="9">
        <v>2016</v>
      </c>
      <c r="I47" s="10">
        <f t="shared" si="2"/>
        <v>14.950000000000001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1" t="s">
        <v>125</v>
      </c>
      <c r="C48" s="30" t="s">
        <v>40</v>
      </c>
      <c r="D48" s="30" t="s">
        <v>57</v>
      </c>
      <c r="E48" s="30">
        <v>2015</v>
      </c>
      <c r="F48" s="12">
        <v>6.45</v>
      </c>
      <c r="G48" s="13">
        <v>2016</v>
      </c>
      <c r="I48" s="10">
        <f t="shared" si="2"/>
        <v>1.9500000000000002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1" t="s">
        <v>182</v>
      </c>
      <c r="C49" s="30" t="s">
        <v>43</v>
      </c>
      <c r="D49" s="30" t="s">
        <v>78</v>
      </c>
      <c r="E49" s="2">
        <v>2013</v>
      </c>
      <c r="F49" s="8">
        <v>4.6</v>
      </c>
      <c r="G49" s="9">
        <v>2016</v>
      </c>
      <c r="I49" s="10">
        <f t="shared" si="2"/>
        <v>1.4000000000000001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" t="s">
        <v>176</v>
      </c>
      <c r="C50" s="2" t="s">
        <v>43</v>
      </c>
      <c r="D50" s="2" t="s">
        <v>65</v>
      </c>
      <c r="E50" s="2">
        <v>2013</v>
      </c>
      <c r="F50" s="12">
        <v>4.5</v>
      </c>
      <c r="G50" s="13">
        <v>2016</v>
      </c>
      <c r="I50" s="10">
        <f t="shared" si="2"/>
        <v>1.35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31" t="s">
        <v>758</v>
      </c>
      <c r="C51" s="2" t="s">
        <v>44</v>
      </c>
      <c r="D51" s="2" t="s">
        <v>87</v>
      </c>
      <c r="E51" s="2">
        <v>2016</v>
      </c>
      <c r="F51" s="8">
        <v>3</v>
      </c>
      <c r="G51" s="13">
        <v>2016</v>
      </c>
      <c r="I51" s="10">
        <f t="shared" si="2"/>
        <v>3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B52" s="1" t="s">
        <v>698</v>
      </c>
      <c r="C52" s="2" t="s">
        <v>40</v>
      </c>
      <c r="D52" s="2" t="s">
        <v>78</v>
      </c>
      <c r="E52" s="2">
        <v>2016</v>
      </c>
      <c r="F52" s="8">
        <v>3</v>
      </c>
      <c r="G52" s="9">
        <v>2016</v>
      </c>
      <c r="I52" s="10">
        <f>+CEILING(IF($I$35=E52,F52,IF($I$35&lt;=G52,F52*0.3,0)),0.05)</f>
        <v>3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B53" s="31" t="s">
        <v>759</v>
      </c>
      <c r="C53" s="2" t="s">
        <v>44</v>
      </c>
      <c r="D53" s="2" t="s">
        <v>84</v>
      </c>
      <c r="E53" s="2">
        <v>2016</v>
      </c>
      <c r="F53" s="8">
        <v>3</v>
      </c>
      <c r="G53" s="13">
        <v>2016</v>
      </c>
      <c r="I53" s="10">
        <f>+CEILING(IF($I$35=E53,F53,IF($I$35&lt;=G53,F53*0.3,0)),0.05)</f>
        <v>3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B54" s="1" t="s">
        <v>177</v>
      </c>
      <c r="C54" s="2" t="s">
        <v>42</v>
      </c>
      <c r="D54" s="2" t="s">
        <v>67</v>
      </c>
      <c r="E54" s="2">
        <v>2013</v>
      </c>
      <c r="F54" s="12">
        <v>2.35</v>
      </c>
      <c r="G54" s="13">
        <v>2016</v>
      </c>
      <c r="I54" s="10">
        <f>+CEILING(IF($I$35=E54,F54,IF($I$35&lt;=G54,F54*0.3,0)),0.05)</f>
        <v>0.75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1:13" ht="12.75">
      <c r="A55" s="6">
        <v>19</v>
      </c>
      <c r="B55" s="1" t="s">
        <v>162</v>
      </c>
      <c r="C55" s="2" t="s">
        <v>43</v>
      </c>
      <c r="D55" s="2" t="s">
        <v>79</v>
      </c>
      <c r="E55" s="2">
        <v>2013</v>
      </c>
      <c r="F55" s="12">
        <v>2.35</v>
      </c>
      <c r="G55" s="13">
        <v>2016</v>
      </c>
      <c r="I55" s="10">
        <f>+CEILING(IF($I$35=E55,F55,IF($I$35&lt;=G55,F55*0.3,0)),0.05)</f>
        <v>0.75</v>
      </c>
      <c r="J55" s="10">
        <f>+CEILING(IF($J$35&lt;=G55,F55*0.3,0),0.05)</f>
        <v>0</v>
      </c>
      <c r="K55" s="10">
        <f>+CEILING(IF($K$35&lt;=G55,F55*0.3,0),0.05)</f>
        <v>0</v>
      </c>
      <c r="L55" s="10">
        <f>+CEILING(IF($L$35&lt;=G55,F55*0.3,0),0.05)</f>
        <v>0</v>
      </c>
      <c r="M55" s="10">
        <f>CEILING(IF($M$35&lt;=G55,F55*0.3,0),0.05)</f>
        <v>0</v>
      </c>
    </row>
    <row r="56" spans="1:13" ht="12.75">
      <c r="A56" s="6">
        <v>20</v>
      </c>
      <c r="B56" s="1" t="s">
        <v>185</v>
      </c>
      <c r="C56" s="2" t="s">
        <v>39</v>
      </c>
      <c r="D56" s="2" t="s">
        <v>61</v>
      </c>
      <c r="E56" s="2">
        <v>2014</v>
      </c>
      <c r="F56" s="12">
        <v>2.35</v>
      </c>
      <c r="G56" s="13">
        <v>2016</v>
      </c>
      <c r="I56" s="10">
        <f>+CEILING(IF($I$35=E56,F56,IF($I$35&lt;=G56,F56*0.3,0)),0.05)</f>
        <v>0.75</v>
      </c>
      <c r="J56" s="10">
        <f>+CEILING(IF($J$35&lt;=G56,F56*0.3,0),0.05)</f>
        <v>0</v>
      </c>
      <c r="K56" s="10">
        <f>+CEILING(IF($K$35&lt;=G56,F56*0.3,0),0.05)</f>
        <v>0</v>
      </c>
      <c r="L56" s="10">
        <f>+CEILING(IF($L$35&lt;=G56,F56*0.3,0),0.05)</f>
        <v>0</v>
      </c>
      <c r="M56" s="10">
        <f>CEILING(IF($M$35&lt;=G56,F56*0.3,0),0.05)</f>
        <v>0</v>
      </c>
    </row>
    <row r="57" spans="9:13" ht="7.5" customHeight="1">
      <c r="I57" s="14"/>
      <c r="J57" s="14"/>
      <c r="K57" s="14"/>
      <c r="L57" s="14"/>
      <c r="M57" s="14"/>
    </row>
    <row r="58" spans="9:13" ht="12.75">
      <c r="I58" s="15">
        <f>+SUM(I37:I57)</f>
        <v>131.15</v>
      </c>
      <c r="J58" s="15">
        <f>+SUM(J37:J57)</f>
        <v>9.15</v>
      </c>
      <c r="K58" s="15">
        <f>+SUM(K37:K57)</f>
        <v>7.25</v>
      </c>
      <c r="L58" s="15">
        <f>+SUM(L37:L57)</f>
        <v>2.5500000000000003</v>
      </c>
      <c r="M58" s="15">
        <f>+SUM(M37:M57)</f>
        <v>0</v>
      </c>
    </row>
    <row r="59" spans="9:13" ht="12.75">
      <c r="I59" s="16"/>
      <c r="J59" s="16"/>
      <c r="K59" s="16"/>
      <c r="L59" s="16"/>
      <c r="M5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521</v>
      </c>
      <c r="C5" s="2" t="s">
        <v>40</v>
      </c>
      <c r="D5" s="2" t="s">
        <v>88</v>
      </c>
      <c r="E5" s="7" t="s">
        <v>515</v>
      </c>
      <c r="F5" s="12">
        <v>15</v>
      </c>
      <c r="G5" s="13">
        <v>2020</v>
      </c>
      <c r="I5" s="10">
        <f aca="true" t="shared" si="0" ref="I5:M14">+IF($G5&gt;=I$3,$F5,0)</f>
        <v>15</v>
      </c>
      <c r="J5" s="10">
        <f t="shared" si="0"/>
        <v>15</v>
      </c>
      <c r="K5" s="10">
        <f t="shared" si="0"/>
        <v>15</v>
      </c>
      <c r="L5" s="10">
        <f t="shared" si="0"/>
        <v>15</v>
      </c>
      <c r="M5" s="10">
        <f t="shared" si="0"/>
        <v>15</v>
      </c>
    </row>
    <row r="6" spans="1:13" ht="12.75">
      <c r="A6" s="6">
        <v>2</v>
      </c>
      <c r="B6" s="1" t="s">
        <v>624</v>
      </c>
      <c r="C6" s="2" t="s">
        <v>43</v>
      </c>
      <c r="D6" s="30" t="s">
        <v>82</v>
      </c>
      <c r="E6" s="7" t="s">
        <v>557</v>
      </c>
      <c r="F6" s="12">
        <v>5.25</v>
      </c>
      <c r="G6" s="13">
        <v>2020</v>
      </c>
      <c r="I6" s="10">
        <f t="shared" si="0"/>
        <v>5.25</v>
      </c>
      <c r="J6" s="10">
        <f t="shared" si="0"/>
        <v>5.25</v>
      </c>
      <c r="K6" s="10">
        <f t="shared" si="0"/>
        <v>5.25</v>
      </c>
      <c r="L6" s="10">
        <f t="shared" si="0"/>
        <v>5.25</v>
      </c>
      <c r="M6" s="10">
        <f t="shared" si="0"/>
        <v>5.25</v>
      </c>
    </row>
    <row r="7" spans="1:13" ht="12.75">
      <c r="A7" s="6">
        <v>3</v>
      </c>
      <c r="B7" s="1" t="s">
        <v>537</v>
      </c>
      <c r="C7" s="2" t="s">
        <v>39</v>
      </c>
      <c r="D7" s="2" t="s">
        <v>87</v>
      </c>
      <c r="E7" s="7" t="s">
        <v>515</v>
      </c>
      <c r="F7" s="8">
        <v>3</v>
      </c>
      <c r="G7" s="9">
        <v>2020</v>
      </c>
      <c r="I7" s="10">
        <f t="shared" si="0"/>
        <v>3</v>
      </c>
      <c r="J7" s="10">
        <f t="shared" si="0"/>
        <v>3</v>
      </c>
      <c r="K7" s="10">
        <f t="shared" si="0"/>
        <v>3</v>
      </c>
      <c r="L7" s="10">
        <f t="shared" si="0"/>
        <v>3</v>
      </c>
      <c r="M7" s="10">
        <f t="shared" si="0"/>
        <v>3</v>
      </c>
    </row>
    <row r="8" spans="1:13" ht="12.75">
      <c r="A8" s="6">
        <v>4</v>
      </c>
      <c r="B8" s="1" t="s">
        <v>538</v>
      </c>
      <c r="C8" s="2" t="s">
        <v>39</v>
      </c>
      <c r="D8" s="2" t="s">
        <v>89</v>
      </c>
      <c r="E8" s="7" t="s">
        <v>515</v>
      </c>
      <c r="F8" s="8">
        <v>3</v>
      </c>
      <c r="G8" s="9">
        <v>2020</v>
      </c>
      <c r="I8" s="10">
        <f t="shared" si="0"/>
        <v>3</v>
      </c>
      <c r="J8" s="10">
        <f t="shared" si="0"/>
        <v>3</v>
      </c>
      <c r="K8" s="10">
        <f t="shared" si="0"/>
        <v>3</v>
      </c>
      <c r="L8" s="10">
        <f t="shared" si="0"/>
        <v>3</v>
      </c>
      <c r="M8" s="10">
        <f t="shared" si="0"/>
        <v>3</v>
      </c>
    </row>
    <row r="9" spans="1:13" ht="12.75">
      <c r="A9" s="6">
        <v>5</v>
      </c>
      <c r="B9" s="1" t="s">
        <v>675</v>
      </c>
      <c r="C9" s="30" t="s">
        <v>41</v>
      </c>
      <c r="D9" s="30" t="s">
        <v>65</v>
      </c>
      <c r="E9" s="7" t="s">
        <v>557</v>
      </c>
      <c r="F9" s="12">
        <v>3</v>
      </c>
      <c r="G9" s="13">
        <v>2020</v>
      </c>
      <c r="I9" s="10">
        <f t="shared" si="0"/>
        <v>3</v>
      </c>
      <c r="J9" s="10">
        <f t="shared" si="0"/>
        <v>3</v>
      </c>
      <c r="K9" s="10">
        <f t="shared" si="0"/>
        <v>3</v>
      </c>
      <c r="L9" s="10">
        <f t="shared" si="0"/>
        <v>3</v>
      </c>
      <c r="M9" s="10">
        <f t="shared" si="0"/>
        <v>3</v>
      </c>
    </row>
    <row r="10" spans="1:13" ht="12.75">
      <c r="A10" s="6">
        <v>6</v>
      </c>
      <c r="B10" s="31" t="s">
        <v>394</v>
      </c>
      <c r="C10" s="30" t="s">
        <v>40</v>
      </c>
      <c r="D10" s="30" t="s">
        <v>80</v>
      </c>
      <c r="E10" s="7" t="s">
        <v>386</v>
      </c>
      <c r="F10" s="12">
        <v>15.95</v>
      </c>
      <c r="G10" s="13">
        <v>2019</v>
      </c>
      <c r="I10" s="10">
        <f t="shared" si="0"/>
        <v>15.95</v>
      </c>
      <c r="J10" s="10">
        <f t="shared" si="0"/>
        <v>15.95</v>
      </c>
      <c r="K10" s="10">
        <f t="shared" si="0"/>
        <v>15.95</v>
      </c>
      <c r="L10" s="10">
        <f t="shared" si="0"/>
        <v>15.95</v>
      </c>
      <c r="M10" s="10">
        <f t="shared" si="0"/>
        <v>0</v>
      </c>
    </row>
    <row r="11" spans="1:13" ht="12.75">
      <c r="A11" s="6">
        <v>7</v>
      </c>
      <c r="B11" s="1" t="s">
        <v>395</v>
      </c>
      <c r="C11" s="2" t="s">
        <v>40</v>
      </c>
      <c r="D11" s="2" t="s">
        <v>82</v>
      </c>
      <c r="E11" s="7" t="s">
        <v>386</v>
      </c>
      <c r="F11" s="12">
        <v>2.9</v>
      </c>
      <c r="G11" s="13">
        <v>2019</v>
      </c>
      <c r="I11" s="10">
        <f t="shared" si="0"/>
        <v>2.9</v>
      </c>
      <c r="J11" s="10">
        <f t="shared" si="0"/>
        <v>2.9</v>
      </c>
      <c r="K11" s="10">
        <f t="shared" si="0"/>
        <v>2.9</v>
      </c>
      <c r="L11" s="10">
        <f t="shared" si="0"/>
        <v>2.9</v>
      </c>
      <c r="M11" s="10">
        <f t="shared" si="0"/>
        <v>0</v>
      </c>
    </row>
    <row r="12" spans="1:13" ht="12.75">
      <c r="A12" s="6">
        <v>8</v>
      </c>
      <c r="B12" s="1" t="s">
        <v>396</v>
      </c>
      <c r="C12" s="2" t="s">
        <v>39</v>
      </c>
      <c r="D12" s="2" t="s">
        <v>71</v>
      </c>
      <c r="E12" s="7" t="s">
        <v>386</v>
      </c>
      <c r="F12" s="8">
        <v>2.9</v>
      </c>
      <c r="G12" s="9">
        <v>2019</v>
      </c>
      <c r="I12" s="10">
        <f t="shared" si="0"/>
        <v>2.9</v>
      </c>
      <c r="J12" s="10">
        <f t="shared" si="0"/>
        <v>2.9</v>
      </c>
      <c r="K12" s="10">
        <f t="shared" si="0"/>
        <v>2.9</v>
      </c>
      <c r="L12" s="10">
        <f t="shared" si="0"/>
        <v>2.9</v>
      </c>
      <c r="M12" s="10">
        <f t="shared" si="0"/>
        <v>0</v>
      </c>
    </row>
    <row r="13" spans="1:13" ht="12.75">
      <c r="A13" s="6">
        <v>9</v>
      </c>
      <c r="B13" s="31" t="s">
        <v>287</v>
      </c>
      <c r="C13" s="30" t="s">
        <v>40</v>
      </c>
      <c r="D13" s="30" t="s">
        <v>59</v>
      </c>
      <c r="E13" s="32" t="s">
        <v>371</v>
      </c>
      <c r="F13" s="12">
        <v>13.7</v>
      </c>
      <c r="G13" s="13">
        <v>2018</v>
      </c>
      <c r="I13" s="10">
        <f t="shared" si="0"/>
        <v>13.7</v>
      </c>
      <c r="J13" s="10">
        <f t="shared" si="0"/>
        <v>13.7</v>
      </c>
      <c r="K13" s="10">
        <f t="shared" si="0"/>
        <v>13.7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307</v>
      </c>
      <c r="C14" s="2" t="s">
        <v>40</v>
      </c>
      <c r="D14" s="2" t="s">
        <v>66</v>
      </c>
      <c r="E14" s="7" t="s">
        <v>371</v>
      </c>
      <c r="F14" s="8">
        <v>2.75</v>
      </c>
      <c r="G14" s="9">
        <v>2018</v>
      </c>
      <c r="I14" s="10">
        <f t="shared" si="0"/>
        <v>2.75</v>
      </c>
      <c r="J14" s="10">
        <f t="shared" si="0"/>
        <v>2.75</v>
      </c>
      <c r="K14" s="10">
        <f t="shared" si="0"/>
        <v>2.75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561</v>
      </c>
      <c r="C15" s="2" t="s">
        <v>40</v>
      </c>
      <c r="D15" s="2" t="s">
        <v>76</v>
      </c>
      <c r="E15" s="7" t="s">
        <v>557</v>
      </c>
      <c r="F15" s="8">
        <v>95.25</v>
      </c>
      <c r="G15" s="9">
        <v>2017</v>
      </c>
      <c r="I15" s="10">
        <f aca="true" t="shared" si="1" ref="I15:M29">+IF($G15&gt;=I$3,$F15,0)</f>
        <v>95.25</v>
      </c>
      <c r="J15" s="10">
        <f t="shared" si="1"/>
        <v>95.25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189</v>
      </c>
      <c r="C16" s="30" t="s">
        <v>39</v>
      </c>
      <c r="D16" s="30" t="s">
        <v>77</v>
      </c>
      <c r="E16" s="32" t="s">
        <v>373</v>
      </c>
      <c r="F16" s="8">
        <v>19.05</v>
      </c>
      <c r="G16" s="9">
        <v>2017</v>
      </c>
      <c r="I16" s="10">
        <f t="shared" si="1"/>
        <v>19.05</v>
      </c>
      <c r="J16" s="10">
        <f t="shared" si="1"/>
        <v>19.05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240</v>
      </c>
      <c r="C17" s="30" t="s">
        <v>43</v>
      </c>
      <c r="D17" s="30" t="s">
        <v>77</v>
      </c>
      <c r="E17" s="32" t="s">
        <v>56</v>
      </c>
      <c r="F17" s="12">
        <v>8.75</v>
      </c>
      <c r="G17" s="13">
        <v>2017</v>
      </c>
      <c r="I17" s="10">
        <f t="shared" si="1"/>
        <v>8.75</v>
      </c>
      <c r="J17" s="10">
        <f t="shared" si="1"/>
        <v>8.75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228</v>
      </c>
      <c r="C18" s="30" t="s">
        <v>44</v>
      </c>
      <c r="D18" s="30" t="s">
        <v>69</v>
      </c>
      <c r="E18" s="32" t="s">
        <v>56</v>
      </c>
      <c r="F18" s="8">
        <v>8.25</v>
      </c>
      <c r="G18" s="9">
        <v>2017</v>
      </c>
      <c r="I18" s="10">
        <f t="shared" si="1"/>
        <v>8.25</v>
      </c>
      <c r="J18" s="10">
        <f t="shared" si="1"/>
        <v>8.25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20" t="s">
        <v>258</v>
      </c>
      <c r="C19" s="2" t="s">
        <v>41</v>
      </c>
      <c r="D19" s="2" t="s">
        <v>58</v>
      </c>
      <c r="E19" s="7" t="s">
        <v>56</v>
      </c>
      <c r="F19" s="8">
        <v>5.8</v>
      </c>
      <c r="G19" s="9">
        <v>2017</v>
      </c>
      <c r="I19" s="10">
        <f t="shared" si="1"/>
        <v>5.8</v>
      </c>
      <c r="J19" s="10">
        <f t="shared" si="1"/>
        <v>5.8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190</v>
      </c>
      <c r="C20" s="2" t="s">
        <v>40</v>
      </c>
      <c r="D20" s="2" t="s">
        <v>78</v>
      </c>
      <c r="E20" s="2" t="s">
        <v>373</v>
      </c>
      <c r="F20" s="8">
        <v>2.55</v>
      </c>
      <c r="G20" s="9">
        <v>2017</v>
      </c>
      <c r="I20" s="10">
        <f t="shared" si="1"/>
        <v>2.55</v>
      </c>
      <c r="J20" s="10">
        <f t="shared" si="1"/>
        <v>2.55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509</v>
      </c>
      <c r="C21" s="30" t="s">
        <v>39</v>
      </c>
      <c r="D21" s="30" t="s">
        <v>89</v>
      </c>
      <c r="E21" s="32" t="s">
        <v>507</v>
      </c>
      <c r="F21" s="8">
        <v>83.35</v>
      </c>
      <c r="G21" s="9">
        <v>2016</v>
      </c>
      <c r="I21" s="10">
        <f t="shared" si="1"/>
        <v>83.35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334</v>
      </c>
      <c r="C22" s="30" t="s">
        <v>43</v>
      </c>
      <c r="D22" s="30" t="s">
        <v>59</v>
      </c>
      <c r="E22" s="7" t="s">
        <v>372</v>
      </c>
      <c r="F22" s="8">
        <v>6.75</v>
      </c>
      <c r="G22" s="9">
        <v>2016</v>
      </c>
      <c r="I22" s="10">
        <f t="shared" si="1"/>
        <v>6.75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607</v>
      </c>
      <c r="C23" s="2" t="s">
        <v>42</v>
      </c>
      <c r="D23" s="2" t="s">
        <v>58</v>
      </c>
      <c r="E23" s="7" t="s">
        <v>557</v>
      </c>
      <c r="F23" s="8">
        <v>6</v>
      </c>
      <c r="G23" s="9">
        <v>2016</v>
      </c>
      <c r="I23" s="10">
        <f t="shared" si="1"/>
        <v>6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21" t="s">
        <v>130</v>
      </c>
      <c r="C24" s="2" t="s">
        <v>43</v>
      </c>
      <c r="D24" s="2" t="s">
        <v>83</v>
      </c>
      <c r="E24" s="32" t="s">
        <v>691</v>
      </c>
      <c r="F24" s="8">
        <v>3</v>
      </c>
      <c r="G24" s="9">
        <v>2016</v>
      </c>
      <c r="I24" s="10">
        <f t="shared" si="1"/>
        <v>3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756</v>
      </c>
      <c r="C25" s="30" t="s">
        <v>44</v>
      </c>
      <c r="D25" s="30" t="s">
        <v>62</v>
      </c>
      <c r="E25" s="7" t="s">
        <v>691</v>
      </c>
      <c r="F25" s="12">
        <v>3</v>
      </c>
      <c r="G25" s="13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755</v>
      </c>
      <c r="C26" s="2" t="s">
        <v>43</v>
      </c>
      <c r="D26" s="2" t="s">
        <v>114</v>
      </c>
      <c r="E26" s="2" t="s">
        <v>691</v>
      </c>
      <c r="F26" s="8">
        <v>3</v>
      </c>
      <c r="G26" s="9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753</v>
      </c>
      <c r="C27" s="2" t="s">
        <v>43</v>
      </c>
      <c r="D27" s="2" t="s">
        <v>69</v>
      </c>
      <c r="E27" s="7" t="s">
        <v>691</v>
      </c>
      <c r="F27" s="12">
        <v>3</v>
      </c>
      <c r="G27" s="13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754</v>
      </c>
      <c r="C28" s="2" t="s">
        <v>43</v>
      </c>
      <c r="D28" s="2" t="s">
        <v>71</v>
      </c>
      <c r="E28" s="7" t="s">
        <v>691</v>
      </c>
      <c r="F28" s="8">
        <v>3</v>
      </c>
      <c r="G28" s="9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139</v>
      </c>
      <c r="C29" s="30" t="s">
        <v>38</v>
      </c>
      <c r="D29" s="30" t="s">
        <v>69</v>
      </c>
      <c r="E29" s="32" t="s">
        <v>374</v>
      </c>
      <c r="F29" s="8">
        <v>2.35</v>
      </c>
      <c r="G29" s="9">
        <v>2016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320.55000000000007</v>
      </c>
      <c r="J31" s="15">
        <f>+SUM(J5:J29)</f>
        <v>207.10000000000002</v>
      </c>
      <c r="K31" s="15">
        <f>+SUM(K5:K29)</f>
        <v>67.45</v>
      </c>
      <c r="L31" s="15">
        <f>+SUM(L5:L29)</f>
        <v>51</v>
      </c>
      <c r="M31" s="15">
        <f>+SUM(M5:M29)</f>
        <v>29.25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230</v>
      </c>
      <c r="C37" s="2" t="s">
        <v>43</v>
      </c>
      <c r="D37" s="2" t="s">
        <v>55</v>
      </c>
      <c r="E37" s="7">
        <v>2014</v>
      </c>
      <c r="F37" s="12">
        <v>7.35</v>
      </c>
      <c r="G37" s="13">
        <v>2017</v>
      </c>
      <c r="I37" s="10">
        <f aca="true" t="shared" si="2" ref="I37:I46">+CEILING(IF($I$35=E37,F37,IF($I$35&lt;=G37,F37*0.3,0)),0.05)</f>
        <v>2.25</v>
      </c>
      <c r="J37" s="10">
        <f aca="true" t="shared" si="3" ref="J37:J46">+CEILING(IF($J$35&lt;=G37,F37*0.3,0),0.05)</f>
        <v>2.25</v>
      </c>
      <c r="K37" s="10">
        <f aca="true" t="shared" si="4" ref="K37:K46">+CEILING(IF($K$35&lt;=G37,F37*0.3,0),0.05)</f>
        <v>0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33" t="s">
        <v>380</v>
      </c>
      <c r="C38" s="2" t="s">
        <v>41</v>
      </c>
      <c r="D38" s="2" t="s">
        <v>82</v>
      </c>
      <c r="E38" s="7">
        <v>2014</v>
      </c>
      <c r="F38" s="8">
        <v>2.75</v>
      </c>
      <c r="G38" s="9">
        <v>2017</v>
      </c>
      <c r="I38" s="10">
        <f t="shared" si="2"/>
        <v>0.8500000000000001</v>
      </c>
      <c r="J38" s="10">
        <f t="shared" si="3"/>
        <v>0.8500000000000001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20" t="s">
        <v>256</v>
      </c>
      <c r="C39" s="2" t="s">
        <v>43</v>
      </c>
      <c r="D39" s="2" t="s">
        <v>80</v>
      </c>
      <c r="E39" s="7">
        <v>2014</v>
      </c>
      <c r="F39" s="8">
        <v>2.55</v>
      </c>
      <c r="G39" s="9">
        <v>2017</v>
      </c>
      <c r="I39" s="10">
        <f t="shared" si="2"/>
        <v>0.8</v>
      </c>
      <c r="J39" s="10">
        <f t="shared" si="3"/>
        <v>0.8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751</v>
      </c>
      <c r="C40" s="2" t="s">
        <v>42</v>
      </c>
      <c r="D40" s="2" t="s">
        <v>86</v>
      </c>
      <c r="E40" s="7">
        <v>2016</v>
      </c>
      <c r="F40" s="12">
        <v>3</v>
      </c>
      <c r="G40" s="13">
        <v>2016</v>
      </c>
      <c r="I40" s="10">
        <f t="shared" si="2"/>
        <v>3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750</v>
      </c>
      <c r="C41" s="2" t="s">
        <v>42</v>
      </c>
      <c r="D41" s="2" t="s">
        <v>114</v>
      </c>
      <c r="E41" s="2">
        <v>2016</v>
      </c>
      <c r="F41" s="8">
        <v>3</v>
      </c>
      <c r="G41" s="9">
        <v>2016</v>
      </c>
      <c r="I41" s="10">
        <f t="shared" si="2"/>
        <v>3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21" t="s">
        <v>124</v>
      </c>
      <c r="C42" s="2" t="s">
        <v>43</v>
      </c>
      <c r="D42" s="2" t="s">
        <v>86</v>
      </c>
      <c r="E42" s="32">
        <v>2016</v>
      </c>
      <c r="F42" s="8">
        <v>8.8</v>
      </c>
      <c r="G42" s="9">
        <v>2016</v>
      </c>
      <c r="I42" s="10">
        <f t="shared" si="2"/>
        <v>8.8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752</v>
      </c>
      <c r="C43" s="2" t="s">
        <v>43</v>
      </c>
      <c r="D43" s="2" t="s">
        <v>83</v>
      </c>
      <c r="E43" s="7">
        <v>2016</v>
      </c>
      <c r="F43" s="8">
        <v>3</v>
      </c>
      <c r="G43" s="9">
        <v>2016</v>
      </c>
      <c r="I43" s="10">
        <f t="shared" si="2"/>
        <v>3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21" t="s">
        <v>475</v>
      </c>
      <c r="C44" s="2" t="s">
        <v>38</v>
      </c>
      <c r="D44" s="2" t="s">
        <v>81</v>
      </c>
      <c r="E44" s="7">
        <v>2016</v>
      </c>
      <c r="F44" s="8">
        <v>3</v>
      </c>
      <c r="G44" s="9">
        <v>2016</v>
      </c>
      <c r="I44" s="10">
        <f t="shared" si="2"/>
        <v>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751</v>
      </c>
      <c r="C45" s="2" t="s">
        <v>42</v>
      </c>
      <c r="D45" s="2" t="s">
        <v>86</v>
      </c>
      <c r="E45" s="7">
        <v>2016</v>
      </c>
      <c r="F45" s="8">
        <v>3</v>
      </c>
      <c r="G45" s="9">
        <v>2016</v>
      </c>
      <c r="I45" s="10">
        <f t="shared" si="2"/>
        <v>3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628</v>
      </c>
      <c r="C46" s="30" t="s">
        <v>44</v>
      </c>
      <c r="D46" s="30" t="s">
        <v>62</v>
      </c>
      <c r="E46" s="7">
        <v>2016</v>
      </c>
      <c r="F46" s="12">
        <v>3</v>
      </c>
      <c r="G46" s="13">
        <v>2016</v>
      </c>
      <c r="I46" s="10">
        <f t="shared" si="2"/>
        <v>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12"/>
      <c r="G47" s="13"/>
      <c r="I47" s="10">
        <f aca="true" t="shared" si="7" ref="I47:I57">+CEILING(IF($I$35=E47,F47,IF($I$35&lt;=G47,F47*0.3,0)),0.05)</f>
        <v>0</v>
      </c>
      <c r="J47" s="10">
        <f aca="true" t="shared" si="8" ref="J47:J57">+CEILING(IF($J$35&lt;=G47,F47*0.3,0),0.05)</f>
        <v>0</v>
      </c>
      <c r="K47" s="10">
        <f aca="true" t="shared" si="9" ref="K47:K57">+CEILING(IF($K$35&lt;=G47,F47*0.3,0),0.05)</f>
        <v>0</v>
      </c>
      <c r="L47" s="10">
        <f aca="true" t="shared" si="10" ref="L47:L57">+CEILING(IF($L$35&lt;=G47,F47*0.3,0),0.05)</f>
        <v>0</v>
      </c>
      <c r="M47" s="10">
        <f aca="true" t="shared" si="11" ref="M47:M57">CEILING(IF($M$35&lt;=G47,F47*0.3,0),0.05)</f>
        <v>0</v>
      </c>
    </row>
    <row r="48" spans="1:13" ht="12.75">
      <c r="A48" s="6">
        <v>12</v>
      </c>
      <c r="D48" s="2"/>
      <c r="E48" s="7"/>
      <c r="F48" s="12"/>
      <c r="G48" s="13"/>
      <c r="I48" s="10">
        <f t="shared" si="7"/>
        <v>0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D49" s="2"/>
      <c r="E49" s="7"/>
      <c r="F49" s="12"/>
      <c r="G49" s="13"/>
      <c r="I49" s="10">
        <f t="shared" si="7"/>
        <v>0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D50" s="2"/>
      <c r="E50" s="7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D51" s="2"/>
      <c r="E51" s="7"/>
      <c r="F51" s="12"/>
      <c r="G51" s="13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31"/>
      <c r="C52" s="30"/>
      <c r="D52" s="30"/>
      <c r="E52" s="7"/>
      <c r="F52" s="12"/>
      <c r="G52" s="13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B53" s="31"/>
      <c r="D53" s="2"/>
      <c r="E53" s="2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1"/>
      <c r="D55" s="2"/>
      <c r="E55" s="2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.75">
      <c r="A56" s="6">
        <v>20</v>
      </c>
      <c r="B56" s="31"/>
      <c r="D56" s="2"/>
      <c r="E56" s="7"/>
      <c r="F56" s="12"/>
      <c r="G56" s="13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B57" s="31"/>
      <c r="D57" s="2"/>
      <c r="E57" s="2"/>
      <c r="F57" s="8"/>
      <c r="G57" s="9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.75">
      <c r="A58" s="6">
        <v>22</v>
      </c>
      <c r="D58" s="2"/>
      <c r="E58" s="2"/>
      <c r="F58" s="12"/>
      <c r="G58" s="13"/>
      <c r="I58" s="10">
        <f>+CEILING(IF($I$35=E58,F58,IF($I$35&lt;=G58,F58*0.3,0)),0.05)</f>
        <v>0</v>
      </c>
      <c r="J58" s="10">
        <f>+CEILING(IF($J$35&lt;=G58,F58*0.3,0),0.05)</f>
        <v>0</v>
      </c>
      <c r="K58" s="10">
        <f>+CEILING(IF($K$35&lt;=G58,F58*0.3,0),0.05)</f>
        <v>0</v>
      </c>
      <c r="L58" s="10">
        <f>+CEILING(IF($L$35&lt;=G58,F58*0.3,0),0.05)</f>
        <v>0</v>
      </c>
      <c r="M58" s="10">
        <f>CEILING(IF($M$35&lt;=G58,F58*0.3,0),0.05)</f>
        <v>0</v>
      </c>
    </row>
    <row r="59" spans="1:13" ht="12.75">
      <c r="A59" s="6">
        <v>23</v>
      </c>
      <c r="D59" s="2"/>
      <c r="E59" s="2"/>
      <c r="F59" s="12"/>
      <c r="G59" s="13"/>
      <c r="I59" s="10">
        <f>+CEILING(IF($I$35=E59,F59,IF($I$35&lt;=G59,F59*0.3,0)),0.05)</f>
        <v>0</v>
      </c>
      <c r="J59" s="10">
        <f>+CEILING(IF($J$35&lt;=G59,F59*0.3,0),0.05)</f>
        <v>0</v>
      </c>
      <c r="K59" s="10">
        <f>+CEILING(IF($K$35&lt;=G59,F59*0.3,0),0.05)</f>
        <v>0</v>
      </c>
      <c r="L59" s="10">
        <f>+CEILING(IF($L$35&lt;=G59,F59*0.3,0),0.05)</f>
        <v>0</v>
      </c>
      <c r="M59" s="10">
        <f>CEILING(IF($M$35&lt;=G59,F59*0.3,0),0.05)</f>
        <v>0</v>
      </c>
    </row>
    <row r="60" spans="1:13" ht="12.75">
      <c r="A60" s="6">
        <v>24</v>
      </c>
      <c r="D60" s="2"/>
      <c r="E60" s="2"/>
      <c r="F60" s="8"/>
      <c r="G60" s="9"/>
      <c r="I60" s="10">
        <f>+CEILING(IF($I$35=E60,F60,IF($I$35&lt;=G60,F60*0.3,0)),0.05)</f>
        <v>0</v>
      </c>
      <c r="J60" s="10">
        <f>+CEILING(IF($J$35&lt;=G60,F60*0.3,0),0.05)</f>
        <v>0</v>
      </c>
      <c r="K60" s="10">
        <f>+CEILING(IF($K$35&lt;=G60,F60*0.3,0),0.05)</f>
        <v>0</v>
      </c>
      <c r="L60" s="10">
        <f>+CEILING(IF($L$35&lt;=G60,F60*0.3,0),0.05)</f>
        <v>0</v>
      </c>
      <c r="M60" s="10">
        <f>CEILING(IF($M$35&lt;=G60,F60*0.3,0),0.05)</f>
        <v>0</v>
      </c>
    </row>
    <row r="61" spans="9:13" ht="7.5" customHeight="1">
      <c r="I61" s="14"/>
      <c r="J61" s="14"/>
      <c r="K61" s="14"/>
      <c r="L61" s="14"/>
      <c r="M61" s="14"/>
    </row>
    <row r="62" spans="9:13" ht="12.75">
      <c r="I62" s="15">
        <f>+SUM(I37:I61)</f>
        <v>30.700000000000003</v>
      </c>
      <c r="J62" s="15">
        <f>+SUM(J37:J61)</f>
        <v>3.9000000000000004</v>
      </c>
      <c r="K62" s="15">
        <f>+SUM(K37:K61)</f>
        <v>0</v>
      </c>
      <c r="L62" s="15">
        <f>+SUM(L37:L61)</f>
        <v>0</v>
      </c>
      <c r="M62" s="15">
        <f>+SUM(M37:M61)</f>
        <v>0</v>
      </c>
    </row>
    <row r="63" spans="9:13" ht="12.75">
      <c r="I63" s="16"/>
      <c r="J63" s="16"/>
      <c r="K63" s="16"/>
      <c r="L63" s="16"/>
      <c r="M6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B27" sqref="B27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573</v>
      </c>
      <c r="C5" s="2" t="s">
        <v>43</v>
      </c>
      <c r="D5" s="2" t="s">
        <v>70</v>
      </c>
      <c r="E5" s="7" t="s">
        <v>557</v>
      </c>
      <c r="F5" s="12">
        <v>17</v>
      </c>
      <c r="G5" s="13">
        <v>2020</v>
      </c>
      <c r="I5" s="10">
        <f aca="true" t="shared" si="0" ref="I5:M14">+IF($G5&gt;=I$3,$F5,0)</f>
        <v>17</v>
      </c>
      <c r="J5" s="10">
        <f t="shared" si="0"/>
        <v>17</v>
      </c>
      <c r="K5" s="10">
        <f t="shared" si="0"/>
        <v>17</v>
      </c>
      <c r="L5" s="10">
        <f t="shared" si="0"/>
        <v>17</v>
      </c>
      <c r="M5" s="10">
        <f t="shared" si="0"/>
        <v>17</v>
      </c>
    </row>
    <row r="6" spans="1:13" ht="12.75">
      <c r="A6" s="6">
        <v>2</v>
      </c>
      <c r="B6" s="31" t="s">
        <v>636</v>
      </c>
      <c r="C6" s="2" t="s">
        <v>39</v>
      </c>
      <c r="D6" s="2" t="s">
        <v>70</v>
      </c>
      <c r="E6" s="7" t="s">
        <v>557</v>
      </c>
      <c r="F6" s="8">
        <v>15.45</v>
      </c>
      <c r="G6" s="9">
        <v>2020</v>
      </c>
      <c r="I6" s="10">
        <f t="shared" si="0"/>
        <v>15.45</v>
      </c>
      <c r="J6" s="10">
        <f t="shared" si="0"/>
        <v>15.45</v>
      </c>
      <c r="K6" s="10">
        <f t="shared" si="0"/>
        <v>15.45</v>
      </c>
      <c r="L6" s="10">
        <f t="shared" si="0"/>
        <v>15.45</v>
      </c>
      <c r="M6" s="10">
        <f t="shared" si="0"/>
        <v>15.45</v>
      </c>
    </row>
    <row r="7" spans="1:13" ht="12.75">
      <c r="A7" s="6">
        <v>3</v>
      </c>
      <c r="B7" s="1" t="s">
        <v>576</v>
      </c>
      <c r="C7" s="2" t="s">
        <v>44</v>
      </c>
      <c r="D7" s="2" t="s">
        <v>531</v>
      </c>
      <c r="E7" s="30" t="s">
        <v>557</v>
      </c>
      <c r="F7" s="8">
        <v>10.25</v>
      </c>
      <c r="G7" s="9">
        <v>2020</v>
      </c>
      <c r="I7" s="10">
        <f t="shared" si="0"/>
        <v>10.25</v>
      </c>
      <c r="J7" s="10">
        <f t="shared" si="0"/>
        <v>10.25</v>
      </c>
      <c r="K7" s="10">
        <f t="shared" si="0"/>
        <v>10.25</v>
      </c>
      <c r="L7" s="10">
        <f t="shared" si="0"/>
        <v>10.25</v>
      </c>
      <c r="M7" s="10">
        <f t="shared" si="0"/>
        <v>10.25</v>
      </c>
    </row>
    <row r="8" spans="1:13" ht="12.75">
      <c r="A8" s="6">
        <v>4</v>
      </c>
      <c r="B8" s="31" t="s">
        <v>599</v>
      </c>
      <c r="C8" s="2" t="s">
        <v>44</v>
      </c>
      <c r="D8" s="2" t="s">
        <v>87</v>
      </c>
      <c r="E8" s="7" t="s">
        <v>557</v>
      </c>
      <c r="F8" s="12">
        <v>6.2</v>
      </c>
      <c r="G8" s="13">
        <v>2020</v>
      </c>
      <c r="I8" s="10">
        <f t="shared" si="0"/>
        <v>6.2</v>
      </c>
      <c r="J8" s="10">
        <f t="shared" si="0"/>
        <v>6.2</v>
      </c>
      <c r="K8" s="10">
        <f t="shared" si="0"/>
        <v>6.2</v>
      </c>
      <c r="L8" s="10">
        <f t="shared" si="0"/>
        <v>6.2</v>
      </c>
      <c r="M8" s="10">
        <f t="shared" si="0"/>
        <v>6.2</v>
      </c>
    </row>
    <row r="9" spans="1:13" ht="12.75">
      <c r="A9" s="6">
        <v>5</v>
      </c>
      <c r="B9" s="31" t="s">
        <v>551</v>
      </c>
      <c r="C9" s="2" t="s">
        <v>43</v>
      </c>
      <c r="D9" s="2" t="s">
        <v>66</v>
      </c>
      <c r="E9" s="7" t="s">
        <v>515</v>
      </c>
      <c r="F9" s="8">
        <v>3</v>
      </c>
      <c r="G9" s="9">
        <v>2020</v>
      </c>
      <c r="I9" s="10">
        <f t="shared" si="0"/>
        <v>3</v>
      </c>
      <c r="J9" s="10">
        <f t="shared" si="0"/>
        <v>3</v>
      </c>
      <c r="K9" s="10">
        <f t="shared" si="0"/>
        <v>3</v>
      </c>
      <c r="L9" s="10">
        <f t="shared" si="0"/>
        <v>3</v>
      </c>
      <c r="M9" s="10">
        <f t="shared" si="0"/>
        <v>3</v>
      </c>
    </row>
    <row r="10" spans="1:13" ht="12.75">
      <c r="A10" s="6">
        <v>6</v>
      </c>
      <c r="B10" s="31" t="s">
        <v>352</v>
      </c>
      <c r="C10" s="2" t="s">
        <v>39</v>
      </c>
      <c r="D10" s="2" t="s">
        <v>68</v>
      </c>
      <c r="E10" s="7" t="s">
        <v>427</v>
      </c>
      <c r="F10" s="8">
        <v>17.25</v>
      </c>
      <c r="G10" s="9">
        <v>2019</v>
      </c>
      <c r="I10" s="10">
        <f t="shared" si="0"/>
        <v>17.25</v>
      </c>
      <c r="J10" s="10">
        <f t="shared" si="0"/>
        <v>17.25</v>
      </c>
      <c r="K10" s="10">
        <f t="shared" si="0"/>
        <v>17.25</v>
      </c>
      <c r="L10" s="10">
        <f t="shared" si="0"/>
        <v>17.25</v>
      </c>
      <c r="M10" s="10">
        <f t="shared" si="0"/>
        <v>0</v>
      </c>
    </row>
    <row r="11" spans="1:13" ht="12.75">
      <c r="A11" s="6">
        <v>7</v>
      </c>
      <c r="B11" s="31" t="s">
        <v>439</v>
      </c>
      <c r="C11" s="30" t="s">
        <v>38</v>
      </c>
      <c r="D11" s="30" t="s">
        <v>73</v>
      </c>
      <c r="E11" s="7" t="s">
        <v>427</v>
      </c>
      <c r="F11" s="8">
        <v>54</v>
      </c>
      <c r="G11" s="9">
        <v>2018</v>
      </c>
      <c r="I11" s="10">
        <f t="shared" si="0"/>
        <v>54</v>
      </c>
      <c r="J11" s="10">
        <f t="shared" si="0"/>
        <v>54</v>
      </c>
      <c r="K11" s="10">
        <f t="shared" si="0"/>
        <v>54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587</v>
      </c>
      <c r="C12" s="2" t="s">
        <v>40</v>
      </c>
      <c r="D12" s="2" t="s">
        <v>72</v>
      </c>
      <c r="E12" s="7" t="s">
        <v>557</v>
      </c>
      <c r="F12" s="8">
        <v>50.75</v>
      </c>
      <c r="G12" s="9">
        <v>2018</v>
      </c>
      <c r="I12" s="10">
        <f t="shared" si="0"/>
        <v>50.75</v>
      </c>
      <c r="J12" s="10">
        <f t="shared" si="0"/>
        <v>50.75</v>
      </c>
      <c r="K12" s="10">
        <f t="shared" si="0"/>
        <v>50.75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603</v>
      </c>
      <c r="C13" s="2" t="s">
        <v>40</v>
      </c>
      <c r="D13" s="2" t="s">
        <v>73</v>
      </c>
      <c r="E13" s="7" t="s">
        <v>557</v>
      </c>
      <c r="F13" s="8">
        <v>42.65</v>
      </c>
      <c r="G13" s="9">
        <v>2018</v>
      </c>
      <c r="I13" s="10">
        <f t="shared" si="0"/>
        <v>42.65</v>
      </c>
      <c r="J13" s="10">
        <f t="shared" si="0"/>
        <v>42.65</v>
      </c>
      <c r="K13" s="10">
        <f t="shared" si="0"/>
        <v>42.65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440</v>
      </c>
      <c r="C14" s="2" t="s">
        <v>44</v>
      </c>
      <c r="D14" s="2" t="s">
        <v>86</v>
      </c>
      <c r="E14" s="7" t="s">
        <v>427</v>
      </c>
      <c r="F14" s="12">
        <v>6.75</v>
      </c>
      <c r="G14" s="13">
        <v>2018</v>
      </c>
      <c r="I14" s="10">
        <f t="shared" si="0"/>
        <v>6.75</v>
      </c>
      <c r="J14" s="10">
        <f t="shared" si="0"/>
        <v>6.75</v>
      </c>
      <c r="K14" s="10">
        <f t="shared" si="0"/>
        <v>6.75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298</v>
      </c>
      <c r="C15" s="2" t="s">
        <v>40</v>
      </c>
      <c r="D15" s="2" t="s">
        <v>68</v>
      </c>
      <c r="E15" s="7" t="s">
        <v>371</v>
      </c>
      <c r="F15" s="8">
        <v>3.45</v>
      </c>
      <c r="G15" s="9">
        <v>2018</v>
      </c>
      <c r="I15" s="10">
        <f aca="true" t="shared" si="1" ref="I15:M29">+IF($G15&gt;=I$3,$F15,0)</f>
        <v>3.45</v>
      </c>
      <c r="J15" s="10">
        <f t="shared" si="1"/>
        <v>3.45</v>
      </c>
      <c r="K15" s="10">
        <f t="shared" si="1"/>
        <v>3.45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629</v>
      </c>
      <c r="C16" s="2" t="s">
        <v>38</v>
      </c>
      <c r="D16" s="2" t="s">
        <v>84</v>
      </c>
      <c r="E16" s="2" t="s">
        <v>557</v>
      </c>
      <c r="F16" s="12">
        <v>3</v>
      </c>
      <c r="G16" s="13">
        <v>2018</v>
      </c>
      <c r="I16" s="10">
        <f t="shared" si="1"/>
        <v>3</v>
      </c>
      <c r="J16" s="10">
        <f t="shared" si="1"/>
        <v>3</v>
      </c>
      <c r="K16" s="10">
        <f t="shared" si="1"/>
        <v>3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321</v>
      </c>
      <c r="C17" s="2" t="s">
        <v>44</v>
      </c>
      <c r="D17" s="2" t="s">
        <v>64</v>
      </c>
      <c r="E17" s="7" t="s">
        <v>371</v>
      </c>
      <c r="F17" s="8">
        <v>2.75</v>
      </c>
      <c r="G17" s="9">
        <v>2018</v>
      </c>
      <c r="I17" s="10">
        <f t="shared" si="1"/>
        <v>2.75</v>
      </c>
      <c r="J17" s="10">
        <f t="shared" si="1"/>
        <v>2.75</v>
      </c>
      <c r="K17" s="10">
        <f t="shared" si="1"/>
        <v>2.75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468</v>
      </c>
      <c r="C18" s="2" t="s">
        <v>40</v>
      </c>
      <c r="D18" s="2" t="s">
        <v>87</v>
      </c>
      <c r="E18" s="7" t="s">
        <v>427</v>
      </c>
      <c r="F18" s="8">
        <v>24.95</v>
      </c>
      <c r="G18" s="9">
        <v>2017</v>
      </c>
      <c r="I18" s="10">
        <f t="shared" si="1"/>
        <v>24.95</v>
      </c>
      <c r="J18" s="10">
        <f t="shared" si="1"/>
        <v>24.95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444</v>
      </c>
      <c r="C19" s="30" t="s">
        <v>41</v>
      </c>
      <c r="D19" s="30" t="s">
        <v>81</v>
      </c>
      <c r="E19" s="30" t="s">
        <v>427</v>
      </c>
      <c r="F19" s="8">
        <v>20.75</v>
      </c>
      <c r="G19" s="9">
        <v>2017</v>
      </c>
      <c r="I19" s="10">
        <f t="shared" si="1"/>
        <v>20.75</v>
      </c>
      <c r="J19" s="10">
        <f t="shared" si="1"/>
        <v>20.75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251</v>
      </c>
      <c r="C20" s="2" t="s">
        <v>42</v>
      </c>
      <c r="D20" s="2" t="s">
        <v>57</v>
      </c>
      <c r="E20" s="7" t="s">
        <v>56</v>
      </c>
      <c r="F20" s="8">
        <v>7</v>
      </c>
      <c r="G20" s="9">
        <v>2017</v>
      </c>
      <c r="I20" s="10">
        <f t="shared" si="1"/>
        <v>7</v>
      </c>
      <c r="J20" s="10">
        <f t="shared" si="1"/>
        <v>7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241</v>
      </c>
      <c r="C21" s="2" t="s">
        <v>43</v>
      </c>
      <c r="D21" s="2" t="s">
        <v>70</v>
      </c>
      <c r="E21" s="7" t="s">
        <v>56</v>
      </c>
      <c r="F21" s="8">
        <v>5.6</v>
      </c>
      <c r="G21" s="9">
        <v>2017</v>
      </c>
      <c r="I21" s="10">
        <f t="shared" si="1"/>
        <v>5.6</v>
      </c>
      <c r="J21" s="10">
        <f t="shared" si="1"/>
        <v>5.6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574</v>
      </c>
      <c r="C22" s="2" t="s">
        <v>42</v>
      </c>
      <c r="D22" s="2" t="s">
        <v>65</v>
      </c>
      <c r="E22" s="7" t="s">
        <v>557</v>
      </c>
      <c r="F22" s="8">
        <v>4.5</v>
      </c>
      <c r="G22" s="9">
        <v>2017</v>
      </c>
      <c r="I22" s="10">
        <f t="shared" si="1"/>
        <v>4.5</v>
      </c>
      <c r="J22" s="10">
        <f t="shared" si="1"/>
        <v>4.5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491</v>
      </c>
      <c r="C23" s="2" t="s">
        <v>43</v>
      </c>
      <c r="D23" s="2" t="s">
        <v>72</v>
      </c>
      <c r="E23" s="7" t="s">
        <v>427</v>
      </c>
      <c r="F23" s="8">
        <v>3.15</v>
      </c>
      <c r="G23" s="9">
        <v>2017</v>
      </c>
      <c r="I23" s="10">
        <f t="shared" si="1"/>
        <v>3.15</v>
      </c>
      <c r="J23" s="10">
        <f t="shared" si="1"/>
        <v>3.15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224</v>
      </c>
      <c r="C24" s="2" t="s">
        <v>39</v>
      </c>
      <c r="D24" s="2" t="s">
        <v>69</v>
      </c>
      <c r="E24" s="7" t="s">
        <v>373</v>
      </c>
      <c r="F24" s="12">
        <v>2.55</v>
      </c>
      <c r="G24" s="13">
        <v>2017</v>
      </c>
      <c r="I24" s="10">
        <f t="shared" si="1"/>
        <v>2.55</v>
      </c>
      <c r="J24" s="10">
        <f t="shared" si="1"/>
        <v>2.55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170</v>
      </c>
      <c r="C25" s="2" t="s">
        <v>43</v>
      </c>
      <c r="D25" s="2" t="s">
        <v>69</v>
      </c>
      <c r="E25" s="7" t="s">
        <v>56</v>
      </c>
      <c r="F25" s="12">
        <v>2.35</v>
      </c>
      <c r="G25" s="13">
        <v>2016</v>
      </c>
      <c r="I25" s="10">
        <f t="shared" si="1"/>
        <v>2.35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149</v>
      </c>
      <c r="C26" s="30" t="s">
        <v>44</v>
      </c>
      <c r="D26" s="30" t="s">
        <v>67</v>
      </c>
      <c r="E26" s="30" t="s">
        <v>374</v>
      </c>
      <c r="F26" s="8">
        <v>2.35</v>
      </c>
      <c r="G26" s="9">
        <v>2016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D27" s="2"/>
      <c r="E27" s="7"/>
      <c r="F27" s="12"/>
      <c r="G27" s="13"/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/>
      <c r="C28" s="30"/>
      <c r="D28" s="30"/>
      <c r="E28" s="32"/>
      <c r="F28" s="8"/>
      <c r="G28" s="9"/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/>
      <c r="D29" s="2"/>
      <c r="E29" s="7"/>
      <c r="F29" s="12"/>
      <c r="G29" s="13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2"/>
      <c r="F31" s="12"/>
      <c r="G31" s="13"/>
      <c r="I31" s="15">
        <f>+SUM(I5:I29)</f>
        <v>305.70000000000005</v>
      </c>
      <c r="J31" s="15">
        <f>+SUM(J5:J29)</f>
        <v>301</v>
      </c>
      <c r="K31" s="15">
        <f>+SUM(K5:K29)</f>
        <v>232.5</v>
      </c>
      <c r="L31" s="15">
        <f>+SUM(L5:L29)</f>
        <v>69.15</v>
      </c>
      <c r="M31" s="15">
        <f>+SUM(M5:M29)</f>
        <v>51.900000000000006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168</v>
      </c>
      <c r="C37" s="2" t="s">
        <v>41</v>
      </c>
      <c r="D37" s="2" t="s">
        <v>89</v>
      </c>
      <c r="E37" s="7">
        <v>2015</v>
      </c>
      <c r="F37" s="12">
        <v>2.9</v>
      </c>
      <c r="G37" s="9">
        <v>2019</v>
      </c>
      <c r="I37" s="10">
        <f aca="true" t="shared" si="2" ref="I37:I48">+CEILING(IF($I$35=E37,F37,IF($I$35&lt;=G37,F37*0.3,0)),0.05)</f>
        <v>0.9</v>
      </c>
      <c r="J37" s="10">
        <f aca="true" t="shared" si="3" ref="J37:J48">+CEILING(IF($J$35&lt;=G37,F37*0.3,0),0.05)</f>
        <v>0.9</v>
      </c>
      <c r="K37" s="10">
        <f aca="true" t="shared" si="4" ref="K37:K48">+CEILING(IF($K$35&lt;=G37,F37*0.3,0),0.05)</f>
        <v>0.9</v>
      </c>
      <c r="L37" s="10">
        <f aca="true" t="shared" si="5" ref="L37:L48">+CEILING(IF($L$35&lt;=G37,F37*0.3,0),0.05)</f>
        <v>0.9</v>
      </c>
      <c r="M37" s="10">
        <f aca="true" t="shared" si="6" ref="M37:M48">CEILING(IF($M$35&lt;=G37,F37*0.3,0),0.05)</f>
        <v>0</v>
      </c>
    </row>
    <row r="38" spans="1:13" ht="12.75">
      <c r="A38" s="6">
        <v>2</v>
      </c>
      <c r="B38" s="31" t="s">
        <v>269</v>
      </c>
      <c r="C38" s="30" t="s">
        <v>44</v>
      </c>
      <c r="D38" s="30" t="s">
        <v>60</v>
      </c>
      <c r="E38" s="7">
        <v>2015</v>
      </c>
      <c r="F38" s="8">
        <v>2.55</v>
      </c>
      <c r="G38" s="9">
        <v>2017</v>
      </c>
      <c r="I38" s="10">
        <f t="shared" si="2"/>
        <v>0.8</v>
      </c>
      <c r="J38" s="10">
        <f t="shared" si="3"/>
        <v>0.8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130</v>
      </c>
      <c r="C39" s="2" t="s">
        <v>43</v>
      </c>
      <c r="D39" s="2" t="s">
        <v>83</v>
      </c>
      <c r="E39" s="7">
        <v>2015</v>
      </c>
      <c r="F39" s="12">
        <v>6.5</v>
      </c>
      <c r="G39" s="13">
        <v>2016</v>
      </c>
      <c r="I39" s="10">
        <f t="shared" si="2"/>
        <v>1.9500000000000002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122</v>
      </c>
      <c r="C40" s="2" t="s">
        <v>43</v>
      </c>
      <c r="D40" s="2" t="s">
        <v>79</v>
      </c>
      <c r="E40" s="7">
        <v>2012</v>
      </c>
      <c r="F40" s="8">
        <v>5.5</v>
      </c>
      <c r="G40" s="9">
        <v>2016</v>
      </c>
      <c r="I40" s="10">
        <f t="shared" si="2"/>
        <v>1.6500000000000001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150</v>
      </c>
      <c r="C41" s="30" t="s">
        <v>40</v>
      </c>
      <c r="D41" s="30" t="s">
        <v>57</v>
      </c>
      <c r="E41" s="7">
        <v>2015</v>
      </c>
      <c r="F41" s="8">
        <v>2.35</v>
      </c>
      <c r="G41" s="9">
        <v>2016</v>
      </c>
      <c r="I41" s="10">
        <f t="shared" si="2"/>
        <v>0.75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 t="s">
        <v>152</v>
      </c>
      <c r="C42" s="30" t="s">
        <v>39</v>
      </c>
      <c r="D42" s="30" t="s">
        <v>83</v>
      </c>
      <c r="E42" s="32">
        <v>2015</v>
      </c>
      <c r="F42" s="8">
        <v>2.35</v>
      </c>
      <c r="G42" s="9">
        <v>2016</v>
      </c>
      <c r="I42" s="10">
        <f t="shared" si="2"/>
        <v>0.75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/>
      <c r="D44" s="2"/>
      <c r="E44" s="7"/>
      <c r="F44" s="12"/>
      <c r="G44" s="13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3"/>
      <c r="D46" s="2"/>
      <c r="E46" s="7"/>
      <c r="F46" s="12"/>
      <c r="G46" s="13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12"/>
      <c r="G47" s="13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3"/>
      <c r="D48" s="2"/>
      <c r="E48" s="7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1"/>
      <c r="D49" s="2"/>
      <c r="E49" s="7"/>
      <c r="F49" s="8"/>
      <c r="G49" s="9"/>
      <c r="I49" s="10">
        <f>+CEILING(IF($I$35=E49,F49,IF($I$35&lt;=G49,F49*0.3,0)),0.05)</f>
        <v>0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.75">
      <c r="A50" s="6">
        <v>14</v>
      </c>
      <c r="B50" s="31"/>
      <c r="D50" s="2"/>
      <c r="E50" s="7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.75">
      <c r="A51" s="6">
        <v>15</v>
      </c>
      <c r="D51" s="2"/>
      <c r="E51" s="7"/>
      <c r="F51" s="12"/>
      <c r="G51" s="13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9:13" ht="7.5" customHeight="1">
      <c r="I52" s="14"/>
      <c r="J52" s="14"/>
      <c r="K52" s="14"/>
      <c r="L52" s="14"/>
      <c r="M52" s="14"/>
    </row>
    <row r="53" spans="4:13" ht="12.75">
      <c r="D53" s="2"/>
      <c r="E53" s="7"/>
      <c r="F53" s="12"/>
      <c r="G53" s="13"/>
      <c r="I53" s="15">
        <f>+SUM(I37:I52)</f>
        <v>6.800000000000001</v>
      </c>
      <c r="J53" s="15">
        <f>+SUM(J37:J52)</f>
        <v>1.7000000000000002</v>
      </c>
      <c r="K53" s="15">
        <f>+SUM(K37:K52)</f>
        <v>0.9</v>
      </c>
      <c r="L53" s="15">
        <f>+SUM(L37:L52)</f>
        <v>0.9</v>
      </c>
      <c r="M53" s="15">
        <f>+SUM(M37:M52)</f>
        <v>0</v>
      </c>
    </row>
    <row r="54" spans="9:13" ht="12.75">
      <c r="I54" s="16"/>
      <c r="J54" s="16"/>
      <c r="K54" s="16"/>
      <c r="L54" s="16"/>
      <c r="M5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Light,Bold"&amp;14Jon Peterson&amp;R&amp;"Copperplate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518</v>
      </c>
      <c r="C5" s="2" t="s">
        <v>40</v>
      </c>
      <c r="D5" s="2" t="s">
        <v>87</v>
      </c>
      <c r="E5" s="7" t="s">
        <v>515</v>
      </c>
      <c r="F5" s="12">
        <v>19.5</v>
      </c>
      <c r="G5" s="13">
        <v>2020</v>
      </c>
      <c r="I5" s="10">
        <f aca="true" t="shared" si="0" ref="I5:M14">+IF($G5&gt;=I$3,$F5,0)</f>
        <v>19.5</v>
      </c>
      <c r="J5" s="10">
        <f t="shared" si="0"/>
        <v>19.5</v>
      </c>
      <c r="K5" s="10">
        <f t="shared" si="0"/>
        <v>19.5</v>
      </c>
      <c r="L5" s="10">
        <f t="shared" si="0"/>
        <v>19.5</v>
      </c>
      <c r="M5" s="10">
        <f t="shared" si="0"/>
        <v>19.5</v>
      </c>
    </row>
    <row r="6" spans="1:13" ht="12.75">
      <c r="A6" s="6">
        <v>2</v>
      </c>
      <c r="B6" s="31" t="s">
        <v>684</v>
      </c>
      <c r="C6" s="2" t="s">
        <v>39</v>
      </c>
      <c r="D6" s="30" t="s">
        <v>87</v>
      </c>
      <c r="E6" s="7" t="s">
        <v>557</v>
      </c>
      <c r="F6" s="8">
        <v>8</v>
      </c>
      <c r="G6" s="9">
        <v>2020</v>
      </c>
      <c r="I6" s="10">
        <f t="shared" si="0"/>
        <v>8</v>
      </c>
      <c r="J6" s="10">
        <f t="shared" si="0"/>
        <v>8</v>
      </c>
      <c r="K6" s="10">
        <f t="shared" si="0"/>
        <v>8</v>
      </c>
      <c r="L6" s="10">
        <f t="shared" si="0"/>
        <v>8</v>
      </c>
      <c r="M6" s="10">
        <f t="shared" si="0"/>
        <v>8</v>
      </c>
    </row>
    <row r="7" spans="1:13" ht="12.75">
      <c r="A7" s="6">
        <v>3</v>
      </c>
      <c r="B7" s="20" t="s">
        <v>543</v>
      </c>
      <c r="C7" s="2" t="s">
        <v>39</v>
      </c>
      <c r="D7" s="2" t="s">
        <v>82</v>
      </c>
      <c r="E7" s="32" t="s">
        <v>515</v>
      </c>
      <c r="F7" s="8">
        <v>3</v>
      </c>
      <c r="G7" s="9">
        <v>2020</v>
      </c>
      <c r="I7" s="10">
        <f t="shared" si="0"/>
        <v>3</v>
      </c>
      <c r="J7" s="10">
        <f t="shared" si="0"/>
        <v>3</v>
      </c>
      <c r="K7" s="10">
        <f t="shared" si="0"/>
        <v>3</v>
      </c>
      <c r="L7" s="10">
        <f t="shared" si="0"/>
        <v>3</v>
      </c>
      <c r="M7" s="10">
        <f t="shared" si="0"/>
        <v>3</v>
      </c>
    </row>
    <row r="8" spans="1:13" ht="12.75">
      <c r="A8" s="6">
        <v>4</v>
      </c>
      <c r="B8" s="1" t="s">
        <v>392</v>
      </c>
      <c r="C8" s="2" t="s">
        <v>39</v>
      </c>
      <c r="D8" s="2" t="s">
        <v>66</v>
      </c>
      <c r="E8" s="7" t="s">
        <v>386</v>
      </c>
      <c r="F8" s="8">
        <v>17.4</v>
      </c>
      <c r="G8" s="9">
        <v>2019</v>
      </c>
      <c r="I8" s="10">
        <f t="shared" si="0"/>
        <v>17.4</v>
      </c>
      <c r="J8" s="10">
        <f t="shared" si="0"/>
        <v>17.4</v>
      </c>
      <c r="K8" s="10">
        <f t="shared" si="0"/>
        <v>17.4</v>
      </c>
      <c r="L8" s="10">
        <f t="shared" si="0"/>
        <v>17.4</v>
      </c>
      <c r="M8" s="10">
        <f t="shared" si="0"/>
        <v>0</v>
      </c>
    </row>
    <row r="9" spans="1:13" ht="12.75">
      <c r="A9" s="6">
        <v>5</v>
      </c>
      <c r="B9" s="31" t="s">
        <v>431</v>
      </c>
      <c r="C9" s="30" t="s">
        <v>43</v>
      </c>
      <c r="D9" s="30" t="s">
        <v>89</v>
      </c>
      <c r="E9" s="7" t="s">
        <v>427</v>
      </c>
      <c r="F9" s="8">
        <v>6</v>
      </c>
      <c r="G9" s="9">
        <v>2019</v>
      </c>
      <c r="I9" s="10">
        <f t="shared" si="0"/>
        <v>6</v>
      </c>
      <c r="J9" s="10">
        <f t="shared" si="0"/>
        <v>6</v>
      </c>
      <c r="K9" s="10">
        <f t="shared" si="0"/>
        <v>6</v>
      </c>
      <c r="L9" s="10">
        <f t="shared" si="0"/>
        <v>6</v>
      </c>
      <c r="M9" s="10">
        <f t="shared" si="0"/>
        <v>0</v>
      </c>
    </row>
    <row r="10" spans="1:13" ht="12.75">
      <c r="A10" s="6">
        <v>6</v>
      </c>
      <c r="B10" s="31" t="s">
        <v>393</v>
      </c>
      <c r="C10" s="2" t="s">
        <v>40</v>
      </c>
      <c r="D10" s="2" t="s">
        <v>65</v>
      </c>
      <c r="E10" s="7" t="s">
        <v>386</v>
      </c>
      <c r="F10" s="12">
        <v>2.9</v>
      </c>
      <c r="G10" s="13">
        <v>2019</v>
      </c>
      <c r="I10" s="10">
        <f t="shared" si="0"/>
        <v>2.9</v>
      </c>
      <c r="J10" s="10">
        <f t="shared" si="0"/>
        <v>2.9</v>
      </c>
      <c r="K10" s="10">
        <f t="shared" si="0"/>
        <v>2.9</v>
      </c>
      <c r="L10" s="10">
        <f t="shared" si="0"/>
        <v>2.9</v>
      </c>
      <c r="M10" s="10">
        <f t="shared" si="0"/>
        <v>0</v>
      </c>
    </row>
    <row r="11" spans="1:13" ht="12.75">
      <c r="A11" s="6">
        <v>7</v>
      </c>
      <c r="B11" s="31" t="s">
        <v>429</v>
      </c>
      <c r="C11" s="2" t="s">
        <v>38</v>
      </c>
      <c r="D11" s="2" t="s">
        <v>70</v>
      </c>
      <c r="E11" s="7" t="s">
        <v>427</v>
      </c>
      <c r="F11" s="8">
        <v>48</v>
      </c>
      <c r="G11" s="9">
        <v>2018</v>
      </c>
      <c r="I11" s="10">
        <f t="shared" si="0"/>
        <v>48</v>
      </c>
      <c r="J11" s="10">
        <f t="shared" si="0"/>
        <v>48</v>
      </c>
      <c r="K11" s="10">
        <f t="shared" si="0"/>
        <v>48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1" t="s">
        <v>282</v>
      </c>
      <c r="C12" s="2" t="s">
        <v>40</v>
      </c>
      <c r="D12" s="2" t="s">
        <v>67</v>
      </c>
      <c r="E12" s="7" t="s">
        <v>371</v>
      </c>
      <c r="F12" s="8">
        <v>19.2</v>
      </c>
      <c r="G12" s="9">
        <v>2018</v>
      </c>
      <c r="I12" s="10">
        <f t="shared" si="0"/>
        <v>19.2</v>
      </c>
      <c r="J12" s="10">
        <f t="shared" si="0"/>
        <v>19.2</v>
      </c>
      <c r="K12" s="10">
        <f t="shared" si="0"/>
        <v>19.2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20" t="s">
        <v>325</v>
      </c>
      <c r="C13" s="2" t="s">
        <v>42</v>
      </c>
      <c r="D13" s="2" t="s">
        <v>73</v>
      </c>
      <c r="E13" s="7" t="s">
        <v>372</v>
      </c>
      <c r="F13" s="8">
        <v>4.1</v>
      </c>
      <c r="G13" s="9">
        <v>2018</v>
      </c>
      <c r="I13" s="10">
        <f t="shared" si="0"/>
        <v>4.1</v>
      </c>
      <c r="J13" s="10">
        <f t="shared" si="0"/>
        <v>4.1</v>
      </c>
      <c r="K13" s="10">
        <f t="shared" si="0"/>
        <v>4.1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602</v>
      </c>
      <c r="C14" s="2" t="s">
        <v>43</v>
      </c>
      <c r="D14" s="2" t="s">
        <v>69</v>
      </c>
      <c r="E14" s="7" t="s">
        <v>557</v>
      </c>
      <c r="F14" s="8">
        <v>3.85</v>
      </c>
      <c r="G14" s="9">
        <v>2018</v>
      </c>
      <c r="I14" s="10">
        <f t="shared" si="0"/>
        <v>3.85</v>
      </c>
      <c r="J14" s="10">
        <f t="shared" si="0"/>
        <v>3.85</v>
      </c>
      <c r="K14" s="10">
        <f t="shared" si="0"/>
        <v>3.85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663</v>
      </c>
      <c r="C15" s="2" t="s">
        <v>43</v>
      </c>
      <c r="D15" s="30" t="s">
        <v>80</v>
      </c>
      <c r="E15" s="7" t="s">
        <v>557</v>
      </c>
      <c r="F15" s="8">
        <v>3.75</v>
      </c>
      <c r="G15" s="9">
        <v>2018</v>
      </c>
      <c r="I15" s="10">
        <f aca="true" t="shared" si="1" ref="I15:M29">+IF($G15&gt;=I$3,$F15,0)</f>
        <v>3.75</v>
      </c>
      <c r="J15" s="10">
        <f t="shared" si="1"/>
        <v>3.75</v>
      </c>
      <c r="K15" s="10">
        <f t="shared" si="1"/>
        <v>3.75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365</v>
      </c>
      <c r="C16" s="2" t="s">
        <v>40</v>
      </c>
      <c r="D16" s="30" t="s">
        <v>78</v>
      </c>
      <c r="E16" s="7" t="s">
        <v>372</v>
      </c>
      <c r="F16" s="8">
        <v>3.75</v>
      </c>
      <c r="G16" s="9">
        <v>2018</v>
      </c>
      <c r="I16" s="10">
        <f t="shared" si="1"/>
        <v>3.75</v>
      </c>
      <c r="J16" s="10">
        <f t="shared" si="1"/>
        <v>3.75</v>
      </c>
      <c r="K16" s="10">
        <f t="shared" si="1"/>
        <v>3.75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661</v>
      </c>
      <c r="C17" s="30" t="s">
        <v>43</v>
      </c>
      <c r="D17" s="30" t="s">
        <v>67</v>
      </c>
      <c r="E17" s="7" t="s">
        <v>557</v>
      </c>
      <c r="F17" s="8">
        <v>3</v>
      </c>
      <c r="G17" s="9">
        <v>2018</v>
      </c>
      <c r="I17" s="10">
        <f t="shared" si="1"/>
        <v>3</v>
      </c>
      <c r="J17" s="10">
        <f t="shared" si="1"/>
        <v>3</v>
      </c>
      <c r="K17" s="10">
        <f t="shared" si="1"/>
        <v>3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303</v>
      </c>
      <c r="C18" s="2" t="s">
        <v>41</v>
      </c>
      <c r="D18" s="2" t="s">
        <v>67</v>
      </c>
      <c r="E18" s="7" t="s">
        <v>371</v>
      </c>
      <c r="F18" s="12">
        <v>2.75</v>
      </c>
      <c r="G18" s="13">
        <v>2018</v>
      </c>
      <c r="I18" s="10">
        <f t="shared" si="1"/>
        <v>2.75</v>
      </c>
      <c r="J18" s="10">
        <f t="shared" si="1"/>
        <v>2.75</v>
      </c>
      <c r="K18" s="10">
        <f t="shared" si="1"/>
        <v>2.75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430</v>
      </c>
      <c r="C19" s="30" t="s">
        <v>40</v>
      </c>
      <c r="D19" s="30" t="s">
        <v>64</v>
      </c>
      <c r="E19" s="7" t="s">
        <v>427</v>
      </c>
      <c r="F19" s="12">
        <v>32</v>
      </c>
      <c r="G19" s="13">
        <v>2017</v>
      </c>
      <c r="I19" s="10">
        <f t="shared" si="1"/>
        <v>32</v>
      </c>
      <c r="J19" s="10">
        <f t="shared" si="1"/>
        <v>32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20" t="s">
        <v>110</v>
      </c>
      <c r="C20" s="30" t="s">
        <v>38</v>
      </c>
      <c r="D20" s="30" t="s">
        <v>87</v>
      </c>
      <c r="E20" s="32" t="s">
        <v>374</v>
      </c>
      <c r="F20" s="8">
        <v>16.4</v>
      </c>
      <c r="G20" s="9">
        <v>2016</v>
      </c>
      <c r="I20" s="10">
        <f t="shared" si="1"/>
        <v>16.4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368</v>
      </c>
      <c r="C21" s="2" t="s">
        <v>39</v>
      </c>
      <c r="D21" s="2" t="s">
        <v>85</v>
      </c>
      <c r="E21" s="7" t="s">
        <v>372</v>
      </c>
      <c r="F21" s="8">
        <v>12.5</v>
      </c>
      <c r="G21" s="9">
        <v>2016</v>
      </c>
      <c r="I21" s="10">
        <f t="shared" si="1"/>
        <v>12.5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601</v>
      </c>
      <c r="C22" s="30" t="s">
        <v>44</v>
      </c>
      <c r="D22" s="30" t="s">
        <v>89</v>
      </c>
      <c r="E22" s="7" t="s">
        <v>557</v>
      </c>
      <c r="F22" s="8">
        <v>11.25</v>
      </c>
      <c r="G22" s="9">
        <v>2016</v>
      </c>
      <c r="I22" s="10">
        <f t="shared" si="1"/>
        <v>11.25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101</v>
      </c>
      <c r="C23" s="30" t="s">
        <v>44</v>
      </c>
      <c r="D23" s="30" t="s">
        <v>59</v>
      </c>
      <c r="E23" s="7" t="s">
        <v>372</v>
      </c>
      <c r="F23" s="12">
        <v>4.1</v>
      </c>
      <c r="G23" s="13">
        <v>2016</v>
      </c>
      <c r="I23" s="10">
        <f t="shared" si="1"/>
        <v>4.1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20" t="s">
        <v>662</v>
      </c>
      <c r="C24" s="2" t="s">
        <v>41</v>
      </c>
      <c r="D24" s="2" t="s">
        <v>65</v>
      </c>
      <c r="E24" s="7" t="s">
        <v>557</v>
      </c>
      <c r="F24" s="8">
        <v>3.75</v>
      </c>
      <c r="G24" s="9">
        <v>2016</v>
      </c>
      <c r="I24" s="10">
        <f t="shared" si="1"/>
        <v>3.75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686</v>
      </c>
      <c r="C25" s="30" t="s">
        <v>40</v>
      </c>
      <c r="D25" s="30" t="s">
        <v>60</v>
      </c>
      <c r="E25" s="2" t="s">
        <v>557</v>
      </c>
      <c r="F25" s="8">
        <v>3</v>
      </c>
      <c r="G25" s="11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718</v>
      </c>
      <c r="C26" s="2" t="s">
        <v>40</v>
      </c>
      <c r="D26" s="2" t="s">
        <v>76</v>
      </c>
      <c r="E26" s="7" t="s">
        <v>691</v>
      </c>
      <c r="F26" s="8">
        <v>3</v>
      </c>
      <c r="G26" s="11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748</v>
      </c>
      <c r="C27" s="2" t="s">
        <v>38</v>
      </c>
      <c r="D27" s="2" t="s">
        <v>70</v>
      </c>
      <c r="E27" s="7" t="s">
        <v>691</v>
      </c>
      <c r="F27" s="8">
        <v>3</v>
      </c>
      <c r="G27" s="9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749</v>
      </c>
      <c r="C28" s="2" t="s">
        <v>38</v>
      </c>
      <c r="D28" s="2" t="s">
        <v>88</v>
      </c>
      <c r="E28" s="7" t="s">
        <v>691</v>
      </c>
      <c r="F28" s="12">
        <v>3</v>
      </c>
      <c r="G28" s="13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/>
      <c r="D29" s="28"/>
      <c r="E29" s="7"/>
      <c r="F29" s="8"/>
      <c r="G29" s="9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237.2</v>
      </c>
      <c r="J31" s="15">
        <f>+SUM(J5:J29)</f>
        <v>177.2</v>
      </c>
      <c r="K31" s="15">
        <f>+SUM(K5:K29)</f>
        <v>145.2</v>
      </c>
      <c r="L31" s="15">
        <f>+SUM(L5:L29)</f>
        <v>56.8</v>
      </c>
      <c r="M31" s="15">
        <f>+SUM(M5:M29)</f>
        <v>30.5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311</v>
      </c>
      <c r="C37" s="2" t="s">
        <v>41</v>
      </c>
      <c r="D37" s="2" t="s">
        <v>86</v>
      </c>
      <c r="E37" s="7">
        <v>2015</v>
      </c>
      <c r="F37" s="12">
        <v>3.15</v>
      </c>
      <c r="G37" s="13">
        <v>2019</v>
      </c>
      <c r="I37" s="10">
        <f aca="true" t="shared" si="2" ref="I37:I51">+CEILING(IF($I$35=E37,F37,IF($I$35&lt;=G37,F37*0.3,0)),0.05)</f>
        <v>0.9500000000000001</v>
      </c>
      <c r="J37" s="10">
        <f aca="true" t="shared" si="3" ref="J37:J51">+CEILING(IF($J$35&lt;=G37,F37*0.3,0),0.05)</f>
        <v>0.9500000000000001</v>
      </c>
      <c r="K37" s="10">
        <f aca="true" t="shared" si="4" ref="K37:K51">+CEILING(IF($K$35&lt;=G37,F37*0.3,0),0.05)</f>
        <v>0.9500000000000001</v>
      </c>
      <c r="L37" s="10">
        <f aca="true" t="shared" si="5" ref="L37:L51">+CEILING(IF($L$35&lt;=G37,F37*0.3,0),0.05)</f>
        <v>0.9500000000000001</v>
      </c>
      <c r="M37" s="10">
        <f aca="true" t="shared" si="6" ref="M37:M51">CEILING(IF($M$35&lt;=G37,F37*0.3,0),0.05)</f>
        <v>0</v>
      </c>
    </row>
    <row r="38" spans="1:13" ht="12.75">
      <c r="A38" s="6">
        <v>2</v>
      </c>
      <c r="B38" s="31" t="s">
        <v>311</v>
      </c>
      <c r="C38" s="2" t="s">
        <v>41</v>
      </c>
      <c r="D38" s="2" t="s">
        <v>86</v>
      </c>
      <c r="E38" s="7">
        <v>2014</v>
      </c>
      <c r="F38" s="8">
        <v>29.1</v>
      </c>
      <c r="G38" s="9">
        <v>2017</v>
      </c>
      <c r="I38" s="10">
        <f t="shared" si="2"/>
        <v>8.75</v>
      </c>
      <c r="J38" s="10">
        <f t="shared" si="3"/>
        <v>8.75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20" t="s">
        <v>205</v>
      </c>
      <c r="C39" s="2" t="s">
        <v>38</v>
      </c>
      <c r="D39" s="2" t="s">
        <v>89</v>
      </c>
      <c r="E39" s="32">
        <v>2015</v>
      </c>
      <c r="F39" s="8">
        <v>10.2</v>
      </c>
      <c r="G39" s="9">
        <v>2017</v>
      </c>
      <c r="I39" s="10">
        <f t="shared" si="2"/>
        <v>3.1</v>
      </c>
      <c r="J39" s="10">
        <f t="shared" si="3"/>
        <v>3.1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206</v>
      </c>
      <c r="C40" s="2" t="s">
        <v>44</v>
      </c>
      <c r="D40" s="2" t="s">
        <v>82</v>
      </c>
      <c r="E40" s="32">
        <v>2015</v>
      </c>
      <c r="F40" s="8">
        <v>2.55</v>
      </c>
      <c r="G40" s="9">
        <v>2017</v>
      </c>
      <c r="I40" s="10">
        <f t="shared" si="2"/>
        <v>0.8</v>
      </c>
      <c r="J40" s="10">
        <f t="shared" si="3"/>
        <v>0.8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600</v>
      </c>
      <c r="C41" s="2" t="s">
        <v>39</v>
      </c>
      <c r="D41" s="2" t="s">
        <v>73</v>
      </c>
      <c r="E41" s="32">
        <v>2016</v>
      </c>
      <c r="F41" s="8">
        <v>64</v>
      </c>
      <c r="G41" s="9">
        <v>2016</v>
      </c>
      <c r="I41" s="10">
        <f t="shared" si="2"/>
        <v>64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347</v>
      </c>
      <c r="C42" s="30" t="s">
        <v>43</v>
      </c>
      <c r="D42" s="30" t="s">
        <v>83</v>
      </c>
      <c r="E42" s="7">
        <v>2015</v>
      </c>
      <c r="F42" s="8">
        <v>7.75</v>
      </c>
      <c r="G42" s="9">
        <v>2016</v>
      </c>
      <c r="I42" s="10">
        <f t="shared" si="2"/>
        <v>2.35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138</v>
      </c>
      <c r="C43" s="30" t="s">
        <v>39</v>
      </c>
      <c r="D43" s="30" t="s">
        <v>87</v>
      </c>
      <c r="E43" s="32">
        <v>2013</v>
      </c>
      <c r="F43" s="8">
        <v>2.35</v>
      </c>
      <c r="G43" s="11">
        <v>2016</v>
      </c>
      <c r="I43" s="10">
        <f t="shared" si="2"/>
        <v>0.75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D44" s="2"/>
      <c r="E44" s="7"/>
      <c r="F44" s="8"/>
      <c r="G44" s="11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9"/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8"/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9"/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2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19"/>
      <c r="D49" s="2"/>
      <c r="E49" s="7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9"/>
      <c r="D50" s="2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D51" s="2"/>
      <c r="E51" s="2"/>
      <c r="G51" s="2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9:13" ht="7.5" customHeight="1">
      <c r="I52" s="14"/>
      <c r="J52" s="14"/>
      <c r="K52" s="14"/>
      <c r="L52" s="14"/>
      <c r="M52" s="14"/>
    </row>
    <row r="53" spans="9:13" ht="12.75">
      <c r="I53" s="15">
        <f>+SUM(I37:I52)</f>
        <v>80.69999999999999</v>
      </c>
      <c r="J53" s="15">
        <f>+SUM(J37:J52)</f>
        <v>13.6</v>
      </c>
      <c r="K53" s="15">
        <f>+SUM(K37:K52)</f>
        <v>0.9500000000000001</v>
      </c>
      <c r="L53" s="15">
        <f>+SUM(L37:L52)</f>
        <v>0.9500000000000001</v>
      </c>
      <c r="M53" s="15">
        <f>+SUM(M37:M52)</f>
        <v>0</v>
      </c>
    </row>
    <row r="54" spans="9:13" ht="12.75">
      <c r="I54" s="16"/>
      <c r="J54" s="16"/>
      <c r="K54" s="16"/>
      <c r="L54" s="16"/>
      <c r="M5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Light,Bold"&amp;14Tom Waldusky&amp;R&amp;"Copperplate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84" customWidth="1"/>
    <col min="2" max="2" width="2.7109375" style="84" customWidth="1"/>
    <col min="3" max="3" width="4.7109375" style="84" customWidth="1"/>
    <col min="4" max="4" width="7.7109375" style="84" customWidth="1"/>
    <col min="5" max="5" width="0.85546875" style="84" customWidth="1"/>
    <col min="6" max="6" width="4.7109375" style="84" customWidth="1"/>
    <col min="7" max="7" width="7.57421875" style="84" customWidth="1"/>
    <col min="8" max="8" width="0.85546875" style="84" customWidth="1"/>
    <col min="9" max="9" width="4.7109375" style="84" customWidth="1"/>
    <col min="10" max="10" width="7.28125" style="84" customWidth="1"/>
    <col min="11" max="11" width="0.85546875" style="84" customWidth="1"/>
    <col min="12" max="12" width="4.7109375" style="84" customWidth="1"/>
    <col min="13" max="13" width="6.7109375" style="84" customWidth="1"/>
    <col min="14" max="14" width="0.85546875" style="84" customWidth="1"/>
    <col min="15" max="15" width="4.7109375" style="84" customWidth="1"/>
    <col min="16" max="16" width="6.7109375" style="84" customWidth="1"/>
    <col min="17" max="17" width="0.85546875" style="84" customWidth="1"/>
    <col min="18" max="18" width="4.7109375" style="84" customWidth="1"/>
    <col min="19" max="19" width="6.7109375" style="84" customWidth="1"/>
    <col min="20" max="20" width="0.85546875" style="84" customWidth="1"/>
    <col min="21" max="21" width="4.7109375" style="84" customWidth="1"/>
    <col min="22" max="22" width="6.7109375" style="84" customWidth="1"/>
    <col min="23" max="23" width="1.7109375" style="84" customWidth="1"/>
    <col min="24" max="24" width="7.7109375" style="84" customWidth="1"/>
    <col min="25" max="25" width="1.7109375" style="84" customWidth="1"/>
    <col min="26" max="26" width="6.7109375" style="84" customWidth="1"/>
    <col min="27" max="27" width="1.7109375" style="84" customWidth="1"/>
    <col min="28" max="28" width="7.7109375" style="84" customWidth="1"/>
    <col min="29" max="16384" width="9.140625" style="84" customWidth="1"/>
  </cols>
  <sheetData>
    <row r="1" spans="1:28" ht="18.75">
      <c r="A1" s="82" t="s">
        <v>285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  <c r="Z1" s="83"/>
      <c r="AA1" s="83"/>
      <c r="AB1" s="83"/>
    </row>
    <row r="2" spans="3:28" s="85" customFormat="1" ht="7.5" customHeight="1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8"/>
      <c r="Q2" s="88"/>
      <c r="R2" s="88"/>
      <c r="S2" s="87"/>
      <c r="T2" s="87"/>
      <c r="U2" s="86"/>
      <c r="V2" s="86"/>
      <c r="W2" s="87"/>
      <c r="X2" s="88"/>
      <c r="Y2" s="88"/>
      <c r="Z2" s="88"/>
      <c r="AA2" s="88"/>
      <c r="AB2" s="87"/>
    </row>
    <row r="3" spans="1:28" s="90" customFormat="1" ht="15">
      <c r="A3" s="89" t="s">
        <v>1</v>
      </c>
      <c r="C3" s="116" t="s">
        <v>38</v>
      </c>
      <c r="D3" s="116"/>
      <c r="E3" s="91"/>
      <c r="F3" s="116" t="s">
        <v>39</v>
      </c>
      <c r="G3" s="116"/>
      <c r="H3" s="91"/>
      <c r="I3" s="116" t="s">
        <v>40</v>
      </c>
      <c r="J3" s="116"/>
      <c r="K3" s="91"/>
      <c r="L3" s="116" t="s">
        <v>41</v>
      </c>
      <c r="M3" s="116"/>
      <c r="N3" s="91"/>
      <c r="O3" s="116" t="s">
        <v>42</v>
      </c>
      <c r="P3" s="116"/>
      <c r="Q3" s="91"/>
      <c r="R3" s="116" t="s">
        <v>43</v>
      </c>
      <c r="S3" s="116"/>
      <c r="T3" s="91"/>
      <c r="U3" s="116" t="s">
        <v>44</v>
      </c>
      <c r="V3" s="116"/>
      <c r="W3" s="92"/>
      <c r="X3" s="91" t="s">
        <v>45</v>
      </c>
      <c r="Y3" s="91"/>
      <c r="Z3" s="91" t="s">
        <v>46</v>
      </c>
      <c r="AA3" s="91"/>
      <c r="AB3" s="91" t="s">
        <v>9</v>
      </c>
    </row>
    <row r="4" s="85" customFormat="1" ht="7.5" customHeight="1"/>
    <row r="5" spans="1:28" s="90" customFormat="1" ht="15" customHeight="1">
      <c r="A5" s="93" t="s">
        <v>10</v>
      </c>
      <c r="C5" s="94">
        <f>+COUNTIF(Fernald!$C$5:$C$29,"=qb")</f>
        <v>2</v>
      </c>
      <c r="D5" s="95">
        <f>SUMIF(Fernald!$C$5:$C$29,"QB",Fernald!$F$5:$F$29)</f>
        <v>59.25</v>
      </c>
      <c r="E5" s="96"/>
      <c r="F5" s="94">
        <f>+COUNTIF(Fernald!$C$5:$C$29,"=rb")</f>
        <v>5</v>
      </c>
      <c r="G5" s="95">
        <f>SUMIF(Fernald!$C$5:$C$29,"rb",Fernald!$F$5:$F$29)</f>
        <v>56.849999999999994</v>
      </c>
      <c r="H5" s="96"/>
      <c r="I5" s="94">
        <f>+COUNTIF(Fernald!$C$5:$C$29,"=wr")</f>
        <v>6</v>
      </c>
      <c r="J5" s="95">
        <f>SUMIF(Fernald!$C$5:$C$29,"wr",Fernald!$F$5:$F$29)</f>
        <v>44.099999999999994</v>
      </c>
      <c r="K5" s="96"/>
      <c r="L5" s="94">
        <f>+COUNTIF(Fernald!$C$5:$C$29,"=te")</f>
        <v>2</v>
      </c>
      <c r="M5" s="95">
        <f>SUMIF(Fernald!$C$5:$C$29,"te",Fernald!$F$5:$F$29)</f>
        <v>84.55</v>
      </c>
      <c r="N5" s="96"/>
      <c r="O5" s="94">
        <f>+COUNTIF(Fernald!$C$5:$C$29,"=k")</f>
        <v>1</v>
      </c>
      <c r="P5" s="95">
        <f>SUMIF(Fernald!$C$5:$C$29,"k",Fernald!$F$5:$F$29)</f>
        <v>3</v>
      </c>
      <c r="Q5" s="96"/>
      <c r="R5" s="94">
        <f>+COUNTIF(Fernald!$C$5:$C$29,"=dl")</f>
        <v>6</v>
      </c>
      <c r="S5" s="95">
        <f>SUMIF(Fernald!$C$5:$C$29,"dl",Fernald!$F$5:$F$29)</f>
        <v>33.55</v>
      </c>
      <c r="U5" s="94">
        <f>+COUNTIF(Fernald!$C$5:$C$29,"=db")</f>
        <v>3</v>
      </c>
      <c r="V5" s="95">
        <f>SUMIF(Fernald!$C$5:$C$29,"db",Fernald!$F$5:$F$29)</f>
        <v>16.6</v>
      </c>
      <c r="X5" s="95">
        <f aca="true" t="shared" si="0" ref="X5:X24">D5+G5+J5+M5+P5</f>
        <v>247.75</v>
      </c>
      <c r="Y5" s="96"/>
      <c r="Z5" s="95">
        <f aca="true" t="shared" si="1" ref="Z5:Z24">+S5+V5</f>
        <v>50.15</v>
      </c>
      <c r="AA5" s="96"/>
      <c r="AB5" s="95">
        <f aca="true" t="shared" si="2" ref="AB5:AB24">+X5+Z5</f>
        <v>297.9</v>
      </c>
    </row>
    <row r="6" spans="1:28" s="90" customFormat="1" ht="15" customHeight="1">
      <c r="A6" s="93" t="s">
        <v>16</v>
      </c>
      <c r="C6" s="94">
        <f>+COUNTIF(Shepherd!$C$5:$C$29,"=qb")</f>
        <v>2</v>
      </c>
      <c r="D6" s="95">
        <f>SUMIF(Shepherd!$C$5:$C$29,"QB",Shepherd!$F$5:$F$29)</f>
        <v>57</v>
      </c>
      <c r="E6" s="96"/>
      <c r="F6" s="94">
        <f>+COUNTIF(Shepherd!$C$5:$C$29,"=rb")</f>
        <v>3</v>
      </c>
      <c r="G6" s="95">
        <f>SUMIF(Shepherd!$C$5:$C$29,"rb",Shepherd!$F$5:$F$29)</f>
        <v>35.25</v>
      </c>
      <c r="H6" s="96"/>
      <c r="I6" s="94">
        <f>+COUNTIF(Shepherd!$C$5:$C$29,"=wr")</f>
        <v>4</v>
      </c>
      <c r="J6" s="95">
        <f>SUMIF(Shepherd!$C$5:$C$29,"wr",Shepherd!$F$5:$F$29)</f>
        <v>121.80000000000001</v>
      </c>
      <c r="K6" s="96"/>
      <c r="L6" s="94">
        <f>+COUNTIF(Shepherd!$C$5:$C$29,"=te")</f>
        <v>1</v>
      </c>
      <c r="M6" s="95">
        <f>SUMIF(Shepherd!$C$5:$C$29,"te",Shepherd!$F$5:$F$29)</f>
        <v>20.75</v>
      </c>
      <c r="N6" s="96"/>
      <c r="O6" s="94">
        <f>+COUNTIF(Shepherd!$C$5:$C$29,"=k")</f>
        <v>2</v>
      </c>
      <c r="P6" s="95">
        <f>SUMIF(Shepherd!$C$5:$C$29,"k",Shepherd!$F$5:$F$29)</f>
        <v>11.5</v>
      </c>
      <c r="Q6" s="96"/>
      <c r="R6" s="94">
        <f>+COUNTIF(Shepherd!$C$5:$C$29,"=dl")</f>
        <v>5</v>
      </c>
      <c r="S6" s="95">
        <f>SUMIF(Shepherd!$C$5:$C$29,"dl",Shepherd!$F$5:$F$29)</f>
        <v>31.1</v>
      </c>
      <c r="U6" s="94">
        <f>+COUNTIF(Shepherd!$C$5:$C$29,"=db")</f>
        <v>5</v>
      </c>
      <c r="V6" s="95">
        <f>SUMIF(Shepherd!$C$5:$C$29,"db",Shepherd!$F$5:$F$29)</f>
        <v>28.3</v>
      </c>
      <c r="X6" s="95">
        <f t="shared" si="0"/>
        <v>246.3</v>
      </c>
      <c r="Y6" s="96"/>
      <c r="Z6" s="95">
        <f t="shared" si="1"/>
        <v>59.400000000000006</v>
      </c>
      <c r="AA6" s="96"/>
      <c r="AB6" s="95">
        <f t="shared" si="2"/>
        <v>305.70000000000005</v>
      </c>
    </row>
    <row r="7" spans="1:28" s="90" customFormat="1" ht="15" customHeight="1">
      <c r="A7" s="93" t="s">
        <v>12</v>
      </c>
      <c r="C7" s="94">
        <f>+COUNTIF('Kurt Krenz'!$C$5:$C$29,"=qb")</f>
        <v>2</v>
      </c>
      <c r="D7" s="95">
        <f>SUMIF('Kurt Krenz'!$C$5:$C$29,"QB",'Kurt Krenz'!$F$5:$F$29)</f>
        <v>59.75</v>
      </c>
      <c r="E7" s="96"/>
      <c r="F7" s="94">
        <f>+COUNTIF('Kurt Krenz'!$C$5:$C$29,"=rb")</f>
        <v>5</v>
      </c>
      <c r="G7" s="95">
        <f>SUMIF('Kurt Krenz'!$C$5:$C$29,"rb",'Kurt Krenz'!$F$5:$F$29)</f>
        <v>33.849999999999994</v>
      </c>
      <c r="H7" s="96"/>
      <c r="I7" s="94">
        <f>+COUNTIF('Kurt Krenz'!$C$5:$C$29,"=wr")</f>
        <v>7</v>
      </c>
      <c r="J7" s="95">
        <f>SUMIF('Kurt Krenz'!$C$5:$C$29,"wr",'Kurt Krenz'!$F$5:$F$29)</f>
        <v>74.5</v>
      </c>
      <c r="K7" s="96"/>
      <c r="L7" s="94">
        <f>+COUNTIF('Kurt Krenz'!$C$5:$C$29,"=te")</f>
        <v>2</v>
      </c>
      <c r="M7" s="95">
        <f>SUMIF('Kurt Krenz'!$C$5:$C$29,"te",'Kurt Krenz'!$F$5:$F$29)</f>
        <v>21.85</v>
      </c>
      <c r="N7" s="96"/>
      <c r="O7" s="94">
        <f>+COUNTIF('Kurt Krenz'!$C$5:$C$29,"=k")</f>
        <v>1</v>
      </c>
      <c r="P7" s="95">
        <f>SUMIF('Kurt Krenz'!$C$5:$C$29,"k",'Kurt Krenz'!$F$5:$F$29)</f>
        <v>5.8</v>
      </c>
      <c r="Q7" s="96"/>
      <c r="R7" s="94">
        <f>+COUNTIF('Kurt Krenz'!$C$5:$C$29,"=dl")</f>
        <v>6</v>
      </c>
      <c r="S7" s="95">
        <f>SUMIF('Kurt Krenz'!$C$5:$C$29,"dl",'Kurt Krenz'!$F$5:$F$29)</f>
        <v>34.05</v>
      </c>
      <c r="U7" s="94">
        <f>+COUNTIF('Kurt Krenz'!$C$5:$C$29,"=db")</f>
        <v>2</v>
      </c>
      <c r="V7" s="95">
        <f>SUMIF('Kurt Krenz'!$C$5:$C$29,"db",'Kurt Krenz'!$F$5:$F$29)</f>
        <v>5.55</v>
      </c>
      <c r="X7" s="95">
        <f t="shared" si="0"/>
        <v>195.75</v>
      </c>
      <c r="Y7" s="96"/>
      <c r="Z7" s="95">
        <f t="shared" si="1"/>
        <v>39.599999999999994</v>
      </c>
      <c r="AA7" s="96"/>
      <c r="AB7" s="95">
        <f t="shared" si="2"/>
        <v>235.35</v>
      </c>
    </row>
    <row r="8" spans="1:28" s="90" customFormat="1" ht="15" customHeight="1">
      <c r="A8" s="93" t="s">
        <v>15</v>
      </c>
      <c r="B8" s="93"/>
      <c r="C8" s="94">
        <f>+COUNTIF(Rittenhouse!$C$5:$C$29,"=qb")</f>
        <v>2</v>
      </c>
      <c r="D8" s="95">
        <f>SUMIF(Rittenhouse!$C$5:$C$29,"QB",Rittenhouse!$F$5:$F$29)</f>
        <v>16.4</v>
      </c>
      <c r="E8" s="96"/>
      <c r="F8" s="94">
        <f>+COUNTIF(Rittenhouse!$C$5:$C$29,"=rb")</f>
        <v>4</v>
      </c>
      <c r="G8" s="95">
        <f>SUMIF(Rittenhouse!$C$5:$C$29,"rb",Rittenhouse!$F$5:$F$29)</f>
        <v>27.9</v>
      </c>
      <c r="H8" s="96"/>
      <c r="I8" s="94">
        <f>+COUNTIF(Rittenhouse!$C$5:$C$29,"=wr")</f>
        <v>6</v>
      </c>
      <c r="J8" s="95">
        <f>SUMIF(Rittenhouse!$C$5:$C$29,"wr",Rittenhouse!$F$5:$F$29)</f>
        <v>91.95</v>
      </c>
      <c r="K8" s="96"/>
      <c r="L8" s="94">
        <f>+COUNTIF(Rittenhouse!$C$5:$C$29,"=te")</f>
        <v>2</v>
      </c>
      <c r="M8" s="95">
        <f>SUMIF(Rittenhouse!$C$5:$C$29,"te",Rittenhouse!$F$5:$F$29)</f>
        <v>28.45</v>
      </c>
      <c r="N8" s="96"/>
      <c r="O8" s="94">
        <f>+COUNTIF(Rittenhouse!$C$5:$C$29,"=k")</f>
        <v>2</v>
      </c>
      <c r="P8" s="95">
        <f>SUMIF(Rittenhouse!$C$5:$C$29,"k",Rittenhouse!$F$5:$F$29)</f>
        <v>5.9</v>
      </c>
      <c r="Q8" s="96"/>
      <c r="R8" s="94">
        <f>+COUNTIF(Rittenhouse!$C$5:$C$29,"=dl")</f>
        <v>6</v>
      </c>
      <c r="S8" s="95">
        <f>SUMIF(Rittenhouse!$C$5:$C$29,"dl",Rittenhouse!$F$5:$F$29)</f>
        <v>19.8</v>
      </c>
      <c r="U8" s="94">
        <f>+COUNTIF(Rittenhouse!$C$5:$C$29,"=db")</f>
        <v>3</v>
      </c>
      <c r="V8" s="95">
        <f>SUMIF(Rittenhouse!$C$5:$C$29,"db",Rittenhouse!$F$5:$F$29)</f>
        <v>8.75</v>
      </c>
      <c r="X8" s="95">
        <f t="shared" si="0"/>
        <v>170.6</v>
      </c>
      <c r="Y8" s="96"/>
      <c r="Z8" s="95">
        <f t="shared" si="1"/>
        <v>28.55</v>
      </c>
      <c r="AA8" s="96"/>
      <c r="AB8" s="95">
        <f t="shared" si="2"/>
        <v>199.15</v>
      </c>
    </row>
    <row r="9" spans="1:28" s="90" customFormat="1" ht="15" customHeight="1">
      <c r="A9" s="93" t="s">
        <v>188</v>
      </c>
      <c r="B9" s="93"/>
      <c r="C9" s="94">
        <f>+COUNTIF(Ritter!$C$5:$C$29,"=qb")</f>
        <v>1</v>
      </c>
      <c r="D9" s="95">
        <f>SUMIF(Ritter!$C$5:$C$29,"QB",Ritter!$F$5:$F$29)</f>
        <v>2.35</v>
      </c>
      <c r="E9" s="96"/>
      <c r="F9" s="94">
        <f>+COUNTIF(Ritter!$C$5:$C$29,"=rb")</f>
        <v>5</v>
      </c>
      <c r="G9" s="95">
        <f>SUMIF(Ritter!$C$5:$C$29,"rb",Ritter!$F$5:$F$29)</f>
        <v>111.3</v>
      </c>
      <c r="H9" s="96"/>
      <c r="I9" s="94">
        <f>+COUNTIF(Ritter!$C$5:$C$29,"=wr")</f>
        <v>7</v>
      </c>
      <c r="J9" s="95">
        <f>SUMIF(Ritter!$C$5:$C$29,"wr",Ritter!$F$5:$F$29)</f>
        <v>148.10000000000002</v>
      </c>
      <c r="K9" s="96"/>
      <c r="L9" s="94">
        <f>+COUNTIF(Ritter!$C$5:$C$29,"=te")</f>
        <v>2</v>
      </c>
      <c r="M9" s="95">
        <f>SUMIF(Ritter!$C$5:$C$29,"te",Ritter!$F$5:$F$29)</f>
        <v>8.8</v>
      </c>
      <c r="N9" s="96"/>
      <c r="O9" s="94">
        <f>+COUNTIF(Ritter!$C$5:$C$29,"=k")</f>
        <v>1</v>
      </c>
      <c r="P9" s="95">
        <f>SUMIF(Ritter!$C$5:$C$29,"k",Ritter!$F$5:$F$29)</f>
        <v>6</v>
      </c>
      <c r="Q9" s="96"/>
      <c r="R9" s="94">
        <f>+COUNTIF(Ritter!$C$5:$C$29,"=dl")</f>
        <v>7</v>
      </c>
      <c r="S9" s="95">
        <f>SUMIF(Ritter!$C$5:$C$29,"dl",Ritter!$F$5:$F$29)</f>
        <v>32.75</v>
      </c>
      <c r="U9" s="94">
        <f>+COUNTIF(Ritter!$C$5:$C$29,"=db")</f>
        <v>2</v>
      </c>
      <c r="V9" s="95">
        <f>SUMIF(Ritter!$C$5:$C$29,"db",Ritter!$F$5:$F$29)</f>
        <v>11.25</v>
      </c>
      <c r="X9" s="95">
        <f t="shared" si="0"/>
        <v>276.55</v>
      </c>
      <c r="Y9" s="96"/>
      <c r="Z9" s="95">
        <f t="shared" si="1"/>
        <v>44</v>
      </c>
      <c r="AA9" s="96"/>
      <c r="AB9" s="95">
        <f t="shared" si="2"/>
        <v>320.55</v>
      </c>
    </row>
    <row r="10" spans="1:28" s="90" customFormat="1" ht="15" customHeight="1">
      <c r="A10" s="93" t="s">
        <v>91</v>
      </c>
      <c r="C10" s="94">
        <f>+COUNTIF(Kumar!$C$5:$C$29,"=qb")</f>
        <v>3</v>
      </c>
      <c r="D10" s="95">
        <f>SUMIF(Kumar!$C$5:$C$29,"QB",Kumar!$F$5:$F$29)</f>
        <v>20.95</v>
      </c>
      <c r="E10" s="96"/>
      <c r="F10" s="94">
        <f>+COUNTIF(Kumar!$C$5:$C$29,"=rb")</f>
        <v>3</v>
      </c>
      <c r="G10" s="95">
        <f>SUMIF(Kumar!$C$5:$C$29,"rb",Kumar!$F$5:$F$29)</f>
        <v>95.65</v>
      </c>
      <c r="H10" s="96"/>
      <c r="I10" s="94">
        <f>+COUNTIF(Kumar!$C$5:$C$29,"=wr")</f>
        <v>4</v>
      </c>
      <c r="J10" s="95">
        <f>SUMIF(Kumar!$C$5:$C$29,"wr",Kumar!$F$5:$F$29)</f>
        <v>21</v>
      </c>
      <c r="K10" s="96"/>
      <c r="L10" s="94">
        <f>+COUNTIF(Kumar!$C$5:$C$29,"=te")</f>
        <v>3</v>
      </c>
      <c r="M10" s="95">
        <f>SUMIF(Kumar!$C$5:$C$29,"te",Kumar!$F$5:$F$29)</f>
        <v>41.9</v>
      </c>
      <c r="N10" s="96"/>
      <c r="O10" s="94">
        <f>+COUNTIF(Kumar!$C$5:$C$29,"=k")</f>
        <v>2</v>
      </c>
      <c r="P10" s="95">
        <f>SUMIF(Kumar!$C$5:$C$29,"k",Kumar!$F$5:$F$29)</f>
        <v>6</v>
      </c>
      <c r="Q10" s="96"/>
      <c r="R10" s="94">
        <f>+COUNTIF(Kumar!$C$5:$C$29,"=dl")</f>
        <v>5</v>
      </c>
      <c r="S10" s="95">
        <f>SUMIF(Kumar!$C$5:$C$29,"dl",Kumar!$F$5:$F$29)</f>
        <v>17.85</v>
      </c>
      <c r="U10" s="94">
        <f>+COUNTIF(Kumar!$C$5:$C$29,"=db")</f>
        <v>3</v>
      </c>
      <c r="V10" s="95">
        <f>SUMIF(Kumar!$C$5:$C$29,"db",Kumar!$F$5:$F$29)</f>
        <v>17.05</v>
      </c>
      <c r="X10" s="95">
        <f t="shared" si="0"/>
        <v>185.50000000000003</v>
      </c>
      <c r="Y10" s="96"/>
      <c r="Z10" s="95">
        <f t="shared" si="1"/>
        <v>34.900000000000006</v>
      </c>
      <c r="AA10" s="96"/>
      <c r="AB10" s="95">
        <f t="shared" si="2"/>
        <v>220.40000000000003</v>
      </c>
    </row>
    <row r="11" spans="1:28" s="90" customFormat="1" ht="15" customHeight="1">
      <c r="A11" s="93" t="s">
        <v>280</v>
      </c>
      <c r="C11" s="94">
        <f>+COUNTIF(Becher!$C$5:$C$29,"=qb")</f>
        <v>2</v>
      </c>
      <c r="D11" s="95">
        <f>SUMIF(Becher!$C$5:$C$29,"QB",Becher!$F$5:$F$29)</f>
        <v>42.8</v>
      </c>
      <c r="E11" s="96"/>
      <c r="F11" s="94">
        <f>+COUNTIF(Becher!$C$5:$C$29,"=rb")</f>
        <v>5</v>
      </c>
      <c r="G11" s="95">
        <f>SUMIF(Becher!$C$5:$C$29,"rb",Becher!$F$5:$F$29)</f>
        <v>53.8</v>
      </c>
      <c r="H11" s="96"/>
      <c r="I11" s="94">
        <f>+COUNTIF(Becher!$C$5:$C$29,"=wr")</f>
        <v>6</v>
      </c>
      <c r="J11" s="95">
        <f>SUMIF(Becher!$C$5:$C$29,"wr",Becher!$F$5:$F$29)</f>
        <v>66.2</v>
      </c>
      <c r="K11" s="96"/>
      <c r="L11" s="94">
        <f>+COUNTIF(Becher!$C$5:$C$29,"=te")</f>
        <v>2</v>
      </c>
      <c r="M11" s="95">
        <f>SUMIF(Becher!$C$5:$C$29,"te",Becher!$F$5:$F$29)</f>
        <v>5.35</v>
      </c>
      <c r="N11" s="96"/>
      <c r="O11" s="94">
        <f>+COUNTIF(Becher!$C$5:$C$29,"=k")</f>
        <v>1</v>
      </c>
      <c r="P11" s="95">
        <f>SUMIF(Becher!$C$5:$C$29,"k",Becher!$F$5:$F$29)</f>
        <v>6.1</v>
      </c>
      <c r="Q11" s="96"/>
      <c r="R11" s="94">
        <f>+COUNTIF(Becher!$C$5:$C$29,"=dl")</f>
        <v>6</v>
      </c>
      <c r="S11" s="95">
        <f>SUMIF(Becher!$C$5:$C$29,"dl",Becher!$F$5:$F$29)</f>
        <v>36.45</v>
      </c>
      <c r="U11" s="94">
        <f>+COUNTIF(Becher!$C$5:$C$29,"=db")</f>
        <v>3</v>
      </c>
      <c r="V11" s="95">
        <f>SUMIF(Becher!$C$5:$C$29,"db",Becher!$F$5:$F$29)</f>
        <v>11.5</v>
      </c>
      <c r="X11" s="95">
        <f t="shared" si="0"/>
        <v>174.25</v>
      </c>
      <c r="Y11" s="96"/>
      <c r="Z11" s="95">
        <f t="shared" si="1"/>
        <v>47.95</v>
      </c>
      <c r="AA11" s="96"/>
      <c r="AB11" s="95">
        <f t="shared" si="2"/>
        <v>222.2</v>
      </c>
    </row>
    <row r="12" spans="1:28" s="90" customFormat="1" ht="15" customHeight="1">
      <c r="A12" s="93" t="s">
        <v>14</v>
      </c>
      <c r="C12" s="94">
        <f>+COUNTIF(Barton!$C$5:$C$29,"=QB")</f>
        <v>3</v>
      </c>
      <c r="D12" s="95">
        <f>SUMIF(Barton!$C$5:$C$29,"QB",Barton!$F$5:$F$29)</f>
        <v>9.45</v>
      </c>
      <c r="E12" s="96"/>
      <c r="F12" s="94">
        <f>+COUNTIF(Barton!$C$5:$C$29,"=rb")</f>
        <v>4</v>
      </c>
      <c r="G12" s="95">
        <f>SUMIF(Barton!$C$5:$C$29,"rb",Barton!$F$5:$F$29)</f>
        <v>44.599999999999994</v>
      </c>
      <c r="H12" s="96"/>
      <c r="I12" s="94">
        <f>+COUNTIF(Barton!$C$5:$C$29,"=wr")</f>
        <v>5</v>
      </c>
      <c r="J12" s="95">
        <f>SUMIF(Barton!$C$5:$C$29,"wr",Barton!$F$5:$F$29)</f>
        <v>179.55</v>
      </c>
      <c r="K12" s="96"/>
      <c r="L12" s="94">
        <f>+COUNTIF(Barton!$C$5:$C$29,"=te")</f>
        <v>2</v>
      </c>
      <c r="M12" s="95">
        <f>SUMIF(Barton!$C$5:$C$29,"te",Barton!$F$5:$F$29)</f>
        <v>18.25</v>
      </c>
      <c r="N12" s="96"/>
      <c r="O12" s="94">
        <f>+COUNTIF(Barton!$C$5:$C$29,"=k")</f>
        <v>2</v>
      </c>
      <c r="P12" s="95">
        <f>SUMIF(Barton!$C$5:$C$29,"k",Barton!$F$5:$F$29)</f>
        <v>5.75</v>
      </c>
      <c r="Q12" s="96"/>
      <c r="R12" s="94">
        <f>+COUNTIF(Barton!$C$5:$C$29,"=dl")</f>
        <v>5</v>
      </c>
      <c r="S12" s="95">
        <f>SUMIF(Barton!$C$5:$C$29,"dl",Barton!$F$5:$F$29)</f>
        <v>14.9</v>
      </c>
      <c r="U12" s="94">
        <f>+COUNTIF(Barton!$C$5:$C$29,"=db")</f>
        <v>4</v>
      </c>
      <c r="V12" s="95">
        <f>SUMIF(Barton!$C$5:$C$29,"db",Barton!$F$5:$F$29)</f>
        <v>18.2</v>
      </c>
      <c r="X12" s="95">
        <f t="shared" si="0"/>
        <v>257.6</v>
      </c>
      <c r="Y12" s="96"/>
      <c r="Z12" s="95">
        <f t="shared" si="1"/>
        <v>33.1</v>
      </c>
      <c r="AA12" s="96"/>
      <c r="AB12" s="95">
        <f t="shared" si="2"/>
        <v>290.70000000000005</v>
      </c>
    </row>
    <row r="13" spans="1:28" s="90" customFormat="1" ht="15" customHeight="1">
      <c r="A13" s="93" t="s">
        <v>102</v>
      </c>
      <c r="C13" s="94">
        <f>+COUNTIF(Jagot!$C$5:$C$29,"=qb")</f>
        <v>5</v>
      </c>
      <c r="D13" s="95">
        <f>SUMIF(Jagot!$C$5:$C$29,"QB",Jagot!$F$5:$F$29)</f>
        <v>114.5</v>
      </c>
      <c r="E13" s="96"/>
      <c r="F13" s="94">
        <f>+COUNTIF(Jagot!$C$5:$C$29,"=rb")</f>
        <v>3</v>
      </c>
      <c r="G13" s="95">
        <f>SUMIF(Jagot!$C$5:$C$29,"rb",Jagot!$F$5:$F$29)</f>
        <v>14.1</v>
      </c>
      <c r="H13" s="96"/>
      <c r="I13" s="94">
        <f>+COUNTIF(Jagot!$C$5:$C$29,"=wr")</f>
        <v>5</v>
      </c>
      <c r="J13" s="95">
        <f>SUMIF(Jagot!$C$5:$C$29,"wr",Jagot!$F$5:$F$29)</f>
        <v>39.2</v>
      </c>
      <c r="K13" s="96"/>
      <c r="L13" s="94">
        <f>+COUNTIF(Jagot!$C$5:$C$29,"=te")</f>
        <v>2</v>
      </c>
      <c r="M13" s="95">
        <f>SUMIF(Jagot!$C$5:$C$29,"te",Jagot!$F$5:$F$29)</f>
        <v>52.9</v>
      </c>
      <c r="N13" s="96"/>
      <c r="O13" s="94">
        <f>+COUNTIF(Jagot!$C$5:$C$29,"=k")</f>
        <v>1</v>
      </c>
      <c r="P13" s="95">
        <f>SUMIF(Jagot!$C$5:$C$29,"k",Jagot!$F$5:$F$29)</f>
        <v>8.3</v>
      </c>
      <c r="Q13" s="96"/>
      <c r="R13" s="94">
        <f>+COUNTIF(Jagot!$C$5:$C$29,"=dl")</f>
        <v>6</v>
      </c>
      <c r="S13" s="95">
        <f>SUMIF(Jagot!$C$5:$C$29,"dl",Jagot!$F$5:$F$29)</f>
        <v>48.8</v>
      </c>
      <c r="U13" s="94">
        <f>+COUNTIF(Jagot!$C$5:$C$29,"=db")</f>
        <v>3</v>
      </c>
      <c r="V13" s="95">
        <f>SUMIF(Jagot!$C$5:$C$29,"db",Jagot!$F$5:$F$29)</f>
        <v>22.35</v>
      </c>
      <c r="X13" s="95">
        <f t="shared" si="0"/>
        <v>229.00000000000003</v>
      </c>
      <c r="Y13" s="96"/>
      <c r="Z13" s="95">
        <f t="shared" si="1"/>
        <v>71.15</v>
      </c>
      <c r="AA13" s="96"/>
      <c r="AB13" s="95">
        <f t="shared" si="2"/>
        <v>300.15000000000003</v>
      </c>
    </row>
    <row r="14" spans="1:28" s="90" customFormat="1" ht="15" customHeight="1">
      <c r="A14" s="93" t="s">
        <v>13</v>
      </c>
      <c r="C14" s="94">
        <f>+COUNTIF(WoodfordB!$C$5:$C$29,"=qb")</f>
        <v>2</v>
      </c>
      <c r="D14" s="95">
        <f>SUMIF(WoodfordB!$C$5:$C$29,"QB",WoodfordB!$F$5:$F$29)</f>
        <v>41.25</v>
      </c>
      <c r="E14" s="96"/>
      <c r="F14" s="94">
        <f>+COUNTIF(WoodfordB!$C$5:$C$29,"=rb")</f>
        <v>6</v>
      </c>
      <c r="G14" s="95">
        <f>SUMIF(WoodfordB!$C$5:$C$29,"rb",WoodfordB!$F$5:$F$29)</f>
        <v>84.45</v>
      </c>
      <c r="H14" s="96"/>
      <c r="I14" s="94">
        <f>+COUNTIF(WoodfordB!$C$5:$C$29,"=wr")</f>
        <v>4</v>
      </c>
      <c r="J14" s="95">
        <f>SUMIF(WoodfordB!$C$5:$C$29,"wr",WoodfordB!$F$5:$F$29)</f>
        <v>113.60000000000001</v>
      </c>
      <c r="K14" s="96"/>
      <c r="L14" s="94">
        <f>+COUNTIF(WoodfordB!$C$5:$C$29,"=te")</f>
        <v>2</v>
      </c>
      <c r="M14" s="95">
        <f>SUMIF(WoodfordB!$C$5:$C$29,"te",WoodfordB!$F$5:$F$29)</f>
        <v>10.15</v>
      </c>
      <c r="N14" s="96"/>
      <c r="O14" s="94">
        <f>+COUNTIF(WoodfordB!$C$5:$C$29,"=k")</f>
        <v>2</v>
      </c>
      <c r="P14" s="95">
        <f>SUMIF(WoodfordB!$C$5:$C$29,"k",WoodfordB!$F$5:$F$29)</f>
        <v>7.45</v>
      </c>
      <c r="Q14" s="96"/>
      <c r="R14" s="94">
        <f>+COUNTIF(WoodfordB!$C$5:$C$29,"=dl")</f>
        <v>6</v>
      </c>
      <c r="S14" s="95">
        <f>SUMIF(WoodfordB!$C$5:$C$29,"dl",WoodfordB!$F$5:$F$29)</f>
        <v>22.15</v>
      </c>
      <c r="U14" s="94">
        <f>+COUNTIF(WoodfordB!$C$5:$C$29,"=db")</f>
        <v>3</v>
      </c>
      <c r="V14" s="95">
        <f>SUMIF(WoodfordB!$C$5:$C$29,"db",WoodfordB!$F$5:$F$29)</f>
        <v>9</v>
      </c>
      <c r="X14" s="95">
        <f t="shared" si="0"/>
        <v>256.90000000000003</v>
      </c>
      <c r="Y14" s="96"/>
      <c r="Z14" s="95">
        <f t="shared" si="1"/>
        <v>31.15</v>
      </c>
      <c r="AA14" s="96"/>
      <c r="AB14" s="95">
        <f t="shared" si="2"/>
        <v>288.05</v>
      </c>
    </row>
    <row r="15" spans="1:28" s="90" customFormat="1" ht="15" customHeight="1">
      <c r="A15" s="93" t="s">
        <v>99</v>
      </c>
      <c r="C15" s="94">
        <f>+COUNTIF(Chaplin!$C$5:$C$29,"=qb")</f>
        <v>1</v>
      </c>
      <c r="D15" s="95">
        <f>SUMIF(Chaplin!$C$5:$C$29,"QB",Chaplin!$F$5:$F$29)</f>
        <v>2.75</v>
      </c>
      <c r="E15" s="96"/>
      <c r="F15" s="94">
        <f>+COUNTIF(Chaplin!$C$5:$C$29,"=rb")</f>
        <v>5</v>
      </c>
      <c r="G15" s="95">
        <f>SUMIF(Chaplin!$C$5:$C$29,"rb",Chaplin!$F$5:$F$29)</f>
        <v>105.25</v>
      </c>
      <c r="H15" s="96"/>
      <c r="I15" s="94">
        <f>+COUNTIF(Chaplin!$C$5:$C$29,"=wr")</f>
        <v>7</v>
      </c>
      <c r="J15" s="95">
        <f>SUMIF(Chaplin!$C$5:$C$29,"wr",Chaplin!$F$5:$F$29)</f>
        <v>139.3</v>
      </c>
      <c r="K15" s="96"/>
      <c r="L15" s="94">
        <f>+COUNTIF(Chaplin!$C$5:$C$29,"=te")</f>
        <v>2</v>
      </c>
      <c r="M15" s="95">
        <f>SUMIF(Chaplin!$C$5:$C$29,"te",Chaplin!$F$5:$F$29)</f>
        <v>5.9</v>
      </c>
      <c r="N15" s="96"/>
      <c r="O15" s="94">
        <f>+COUNTIF(Chaplin!$C$5:$C$29,"=k")</f>
        <v>1</v>
      </c>
      <c r="P15" s="95">
        <f>SUMIF(Chaplin!$C$5:$C$29,"k",Chaplin!$F$5:$F$29)</f>
        <v>9.5</v>
      </c>
      <c r="Q15" s="96"/>
      <c r="R15" s="94">
        <f>+COUNTIF(Chaplin!$C$5:$C$29,"=dl")</f>
        <v>5</v>
      </c>
      <c r="S15" s="95">
        <f>SUMIF(Chaplin!$C$5:$C$29,"dl",Chaplin!$F$5:$F$29)</f>
        <v>31.25</v>
      </c>
      <c r="U15" s="94">
        <f>+COUNTIF(Chaplin!$C$5:$C$29,"=db")</f>
        <v>4</v>
      </c>
      <c r="V15" s="95">
        <f>SUMIF(Chaplin!$C$5:$C$29,"db",Chaplin!$F$5:$F$29)</f>
        <v>16.3</v>
      </c>
      <c r="X15" s="95">
        <f t="shared" si="0"/>
        <v>262.70000000000005</v>
      </c>
      <c r="Y15" s="96"/>
      <c r="Z15" s="95">
        <f t="shared" si="1"/>
        <v>47.55</v>
      </c>
      <c r="AA15" s="96"/>
      <c r="AB15" s="95">
        <f t="shared" si="2"/>
        <v>310.25000000000006</v>
      </c>
    </row>
    <row r="16" spans="1:28" s="90" customFormat="1" ht="15" customHeight="1">
      <c r="A16" s="93" t="s">
        <v>108</v>
      </c>
      <c r="C16" s="94">
        <f>+COUNTIF(Trouy!$C$5:$C$29,"qb")</f>
        <v>3</v>
      </c>
      <c r="D16" s="95">
        <f>SUMIF(Trouy!$C$5:$C$29,"QB",Trouy!$F$5:$F$29)</f>
        <v>24.3</v>
      </c>
      <c r="E16" s="96"/>
      <c r="F16" s="94">
        <f>+COUNTIF(Trouy!$C$5:$C$29,"rb")</f>
        <v>3</v>
      </c>
      <c r="G16" s="95">
        <f>SUMIF(Trouy!$C$5:$C$29,"rb",Trouy!$F$5:$F$29)</f>
        <v>24.55</v>
      </c>
      <c r="H16" s="96"/>
      <c r="I16" s="94">
        <f>+COUNTIF(Trouy!$C$5:$C$29,"wr")</f>
        <v>4</v>
      </c>
      <c r="J16" s="95">
        <f>SUMIF(Trouy!$C$5:$C$29,"wr",Trouy!$F$5:$F$29)</f>
        <v>103.9</v>
      </c>
      <c r="K16" s="96"/>
      <c r="L16" s="94">
        <f>+COUNTIF(Trouy!$C$5:$C$29,"te")</f>
        <v>3</v>
      </c>
      <c r="M16" s="95">
        <f>SUMIF(Trouy!$C$5:$C$29,"te",Trouy!$F$5:$F$29)</f>
        <v>26.6</v>
      </c>
      <c r="N16" s="96"/>
      <c r="O16" s="94">
        <f>+COUNTIF(Trouy!$C$5:$C$29,"k")</f>
        <v>2</v>
      </c>
      <c r="P16" s="95">
        <f>SUMIF(Trouy!$C$5:$C$29,"k",Trouy!$F$5:$F$29)</f>
        <v>11</v>
      </c>
      <c r="Q16" s="96"/>
      <c r="R16" s="94">
        <f>+COUNTIF(Trouy!$C$5:$C$29,"dl")</f>
        <v>7</v>
      </c>
      <c r="S16" s="95">
        <f>SUMIF(Trouy!$C$5:$C$29,"dl",Trouy!$F$5:$F$29)</f>
        <v>44.9</v>
      </c>
      <c r="U16" s="94">
        <f>+COUNTIF(Trouy!$C$5:$C$29,"db")</f>
        <v>3</v>
      </c>
      <c r="V16" s="95">
        <f>SUMIF(Trouy!$C$5:$C$29,"db",Trouy!$F$5:$F$29)</f>
        <v>27.85</v>
      </c>
      <c r="X16" s="95">
        <f t="shared" si="0"/>
        <v>190.35</v>
      </c>
      <c r="Y16" s="96"/>
      <c r="Z16" s="95">
        <f t="shared" si="1"/>
        <v>72.75</v>
      </c>
      <c r="AA16" s="96"/>
      <c r="AB16" s="95">
        <f t="shared" si="2"/>
        <v>263.1</v>
      </c>
    </row>
    <row r="17" spans="1:28" s="90" customFormat="1" ht="15" customHeight="1">
      <c r="A17" s="93" t="s">
        <v>279</v>
      </c>
      <c r="C17" s="94">
        <f>+COUNTIF(Thomas!$C$5:$C$29,"=qb")</f>
        <v>4</v>
      </c>
      <c r="D17" s="95">
        <f>SUMIF(Thomas!$C$5:$C$29,"QB",Thomas!$F$5:$F$29)</f>
        <v>70.4</v>
      </c>
      <c r="E17" s="96"/>
      <c r="F17" s="94">
        <f>+COUNTIF(Thomas!$C$5:$C$29,"=rb")</f>
        <v>4</v>
      </c>
      <c r="G17" s="95">
        <f>SUMIF(Thomas!$C$5:$C$29,"rb",Thomas!$F$5:$F$29)</f>
        <v>40.9</v>
      </c>
      <c r="H17" s="96"/>
      <c r="I17" s="94">
        <f>+COUNTIF(Thomas!$C$5:$C$29,"=wr")</f>
        <v>7</v>
      </c>
      <c r="J17" s="95">
        <f>SUMIF(Thomas!$C$5:$C$29,"wr",Thomas!$F$5:$F$29)</f>
        <v>83.35</v>
      </c>
      <c r="K17" s="96"/>
      <c r="L17" s="94">
        <f>+COUNTIF(Thomas!$C$5:$C$29,"=te")</f>
        <v>2</v>
      </c>
      <c r="M17" s="95">
        <f>SUMIF(Thomas!$C$5:$C$29,"te",Thomas!$F$5:$F$29)</f>
        <v>6.5</v>
      </c>
      <c r="N17" s="96"/>
      <c r="O17" s="94">
        <f>+COUNTIF(Thomas!$C$5:$C$29,"=k")</f>
        <v>1</v>
      </c>
      <c r="P17" s="95">
        <f>SUMIF(Thomas!$C$5:$C$29,"k",Thomas!$F$5:$F$29)</f>
        <v>4.1</v>
      </c>
      <c r="Q17" s="96"/>
      <c r="R17" s="94">
        <f>+COUNTIF(Thomas!$C$5:$C$29,"=dl")</f>
        <v>4</v>
      </c>
      <c r="S17" s="95">
        <f>SUMIF(Thomas!$C$5:$C$29,"dl",Thomas!$F$5:$F$29)</f>
        <v>16.6</v>
      </c>
      <c r="U17" s="94">
        <f>+COUNTIF(Thomas!$C$5:$C$29,"=db")</f>
        <v>2</v>
      </c>
      <c r="V17" s="95">
        <f>SUMIF(Thomas!$C$5:$C$29,"db",Thomas!$F$5:$F$29)</f>
        <v>15.35</v>
      </c>
      <c r="X17" s="95">
        <f t="shared" si="0"/>
        <v>205.25</v>
      </c>
      <c r="Y17" s="96"/>
      <c r="Z17" s="95">
        <f t="shared" si="1"/>
        <v>31.950000000000003</v>
      </c>
      <c r="AA17" s="96"/>
      <c r="AB17" s="95">
        <f t="shared" si="2"/>
        <v>237.2</v>
      </c>
    </row>
    <row r="18" spans="1:28" s="90" customFormat="1" ht="15" customHeight="1">
      <c r="A18" s="93" t="s">
        <v>11</v>
      </c>
      <c r="C18" s="94">
        <f>+COUNTIF(WoodfordW!$C$5:$C$29,"=qb")</f>
        <v>1</v>
      </c>
      <c r="D18" s="95">
        <f>SUMIF(WoodfordW!$C$5:$C$29,"QB",WoodfordW!$F$5:$F$29)</f>
        <v>77.5</v>
      </c>
      <c r="E18" s="96"/>
      <c r="F18" s="94">
        <f>+COUNTIF(WoodfordW!$C$5:$C$29,"=rb")</f>
        <v>6</v>
      </c>
      <c r="G18" s="95">
        <f>SUMIF(WoodfordW!$C$5:$C$29,"rb",WoodfordW!$F$5:$F$29)</f>
        <v>89.8</v>
      </c>
      <c r="H18" s="96"/>
      <c r="I18" s="94">
        <f>+COUNTIF(WoodfordW!$C$5:$C$29,"=wr")</f>
        <v>6</v>
      </c>
      <c r="J18" s="95">
        <f>SUMIF(WoodfordW!$C$5:$C$29,"wr",WoodfordW!$F$5:$F$29)</f>
        <v>64.6</v>
      </c>
      <c r="K18" s="96"/>
      <c r="L18" s="94">
        <f>+COUNTIF(WoodfordW!$C$5:$C$29,"=te")</f>
        <v>2</v>
      </c>
      <c r="M18" s="95">
        <f>SUMIF(WoodfordW!$C$5:$C$29,"te",WoodfordW!$F$5:$F$29)</f>
        <v>21.8</v>
      </c>
      <c r="N18" s="96"/>
      <c r="O18" s="94">
        <f>+COUNTIF(WoodfordW!$C$5:$C$29,"=k")</f>
        <v>2</v>
      </c>
      <c r="P18" s="95">
        <f>SUMIF(WoodfordW!$C$5:$C$29,"k",WoodfordW!$F$5:$F$29)</f>
        <v>9.5</v>
      </c>
      <c r="Q18" s="96"/>
      <c r="R18" s="94">
        <f>+COUNTIF(WoodfordW!$C$5:$C$29,"=dl")</f>
        <v>5</v>
      </c>
      <c r="S18" s="95">
        <f>SUMIF(WoodfordW!$C$5:$C$29,"dl",WoodfordW!$F$5:$F$29)</f>
        <v>14.35</v>
      </c>
      <c r="U18" s="94">
        <f>+COUNTIF(WoodfordW!$C$5:$C$29,"=db")</f>
        <v>3</v>
      </c>
      <c r="V18" s="95">
        <f>SUMIF(WoodfordW!$C$5:$C$29,"db",WoodfordW!$F$5:$F$29)</f>
        <v>8.25</v>
      </c>
      <c r="X18" s="95">
        <f t="shared" si="0"/>
        <v>263.20000000000005</v>
      </c>
      <c r="Y18" s="96"/>
      <c r="Z18" s="95">
        <f t="shared" si="1"/>
        <v>22.6</v>
      </c>
      <c r="AA18" s="96"/>
      <c r="AB18" s="95">
        <f t="shared" si="2"/>
        <v>285.80000000000007</v>
      </c>
    </row>
    <row r="19" spans="1:28" s="90" customFormat="1" ht="15" customHeight="1">
      <c r="A19" s="93" t="s">
        <v>278</v>
      </c>
      <c r="C19" s="94">
        <f>+COUNTIF(Goter!$C$5:$C$29,"=QB")</f>
        <v>1</v>
      </c>
      <c r="D19" s="95">
        <f>SUMIF(Goter!$C$5:$C$29,"QB",Goter!$F$5:$F$29)</f>
        <v>40.5</v>
      </c>
      <c r="E19" s="96"/>
      <c r="F19" s="94">
        <f>+COUNTIF(Goter!$C$5:$C$29,"=rb")</f>
        <v>5</v>
      </c>
      <c r="G19" s="95">
        <f>SUMIF(Goter!$C$5:$C$29,"rb",Goter!$F$5:$F$29)</f>
        <v>83.55000000000001</v>
      </c>
      <c r="H19" s="96"/>
      <c r="I19" s="94">
        <f>+COUNTIF(Goter!$C$5:$C$29,"=wr")</f>
        <v>6</v>
      </c>
      <c r="J19" s="95">
        <f>SUMIF(Goter!$C$5:$C$29,"wr",Goter!$F$5:$F$29)</f>
        <v>67.55</v>
      </c>
      <c r="K19" s="96"/>
      <c r="L19" s="94">
        <f>+COUNTIF(Goter!$C$5:$C$29,"=te")</f>
        <v>2</v>
      </c>
      <c r="M19" s="95">
        <f>SUMIF(Goter!$C$5:$C$29,"te",Goter!$F$5:$F$29)</f>
        <v>27.5</v>
      </c>
      <c r="N19" s="96"/>
      <c r="O19" s="94">
        <f>+COUNTIF(Goter!$C$5:$C$29,"=k")</f>
        <v>1</v>
      </c>
      <c r="P19" s="95">
        <f>SUMIF(Goter!$C$5:$C$29,"k",Goter!$F$5:$F$29)</f>
        <v>14</v>
      </c>
      <c r="Q19" s="96"/>
      <c r="R19" s="94">
        <f>+COUNTIF(Goter!$C$5:$C$29,"=dl")</f>
        <v>6</v>
      </c>
      <c r="S19" s="95">
        <f>SUMIF(Goter!$C$5:$C$29,"dl",Goter!$F$5:$F$29)</f>
        <v>24.950000000000003</v>
      </c>
      <c r="U19" s="94">
        <f>+COUNTIF(Goter!$C$5:$C$29,"=db")</f>
        <v>4</v>
      </c>
      <c r="V19" s="95">
        <f>SUMIF(Goter!$C$5:$C$29,"db",Goter!$F$5:$F$29)</f>
        <v>14.25</v>
      </c>
      <c r="X19" s="95">
        <f t="shared" si="0"/>
        <v>233.10000000000002</v>
      </c>
      <c r="Y19" s="96"/>
      <c r="Z19" s="95">
        <f t="shared" si="1"/>
        <v>39.2</v>
      </c>
      <c r="AA19" s="96"/>
      <c r="AB19" s="95">
        <f t="shared" si="2"/>
        <v>272.3</v>
      </c>
    </row>
    <row r="20" spans="1:28" s="90" customFormat="1" ht="15" customHeight="1">
      <c r="A20" s="93" t="s">
        <v>92</v>
      </c>
      <c r="C20" s="94">
        <f>+COUNTIF(Biegler!$C$5:$C$29,"=qb")</f>
        <v>2</v>
      </c>
      <c r="D20" s="95">
        <f>SUMIF(Biegler!$C$5:$C$29,"QB",Biegler!$F$5:$F$29)</f>
        <v>53.25</v>
      </c>
      <c r="E20" s="96"/>
      <c r="F20" s="94">
        <f>+COUNTIF(Biegler!$C$5:$C$29,"=rb")</f>
        <v>4</v>
      </c>
      <c r="G20" s="95">
        <f>SUMIF(Biegler!$C$5:$C$29,"rb",Biegler!$F$5:$F$29)</f>
        <v>37.6</v>
      </c>
      <c r="H20" s="96"/>
      <c r="I20" s="94">
        <f>+COUNTIF(Biegler!$C$5:$C$29,"=wr")</f>
        <v>6</v>
      </c>
      <c r="J20" s="95">
        <f>SUMIF(Biegler!$C$5:$C$29,"wr",Biegler!$F$5:$F$29)</f>
        <v>101.30000000000001</v>
      </c>
      <c r="K20" s="96"/>
      <c r="L20" s="94">
        <f>+COUNTIF(Biegler!$C$5:$C$29,"=te")</f>
        <v>2</v>
      </c>
      <c r="M20" s="95">
        <f>SUMIF(Biegler!$C$5:$C$29,"te",Biegler!$F$5:$F$29)</f>
        <v>5.9</v>
      </c>
      <c r="N20" s="96"/>
      <c r="O20" s="94">
        <f>+COUNTIF(Biegler!$C$5:$C$29,"=k")</f>
        <v>1</v>
      </c>
      <c r="P20" s="95">
        <f>SUMIF(Biegler!$C$5:$C$29,"k",Biegler!$F$5:$F$29)</f>
        <v>3.15</v>
      </c>
      <c r="Q20" s="96"/>
      <c r="R20" s="94">
        <f>+COUNTIF(Biegler!$C$5:$C$29,"=dl")</f>
        <v>7</v>
      </c>
      <c r="S20" s="95">
        <f>SUMIF(Biegler!$C$5:$C$29,"dl",Biegler!$F$5:$F$29)</f>
        <v>25.8</v>
      </c>
      <c r="U20" s="94">
        <f>+COUNTIF(Biegler!$C$5:$C$29,"=db")</f>
        <v>3</v>
      </c>
      <c r="V20" s="95">
        <f>SUMIF(Biegler!$C$5:$C$29,"db",Biegler!$F$5:$F$29)</f>
        <v>10.75</v>
      </c>
      <c r="X20" s="95">
        <f t="shared" si="0"/>
        <v>201.20000000000002</v>
      </c>
      <c r="Y20" s="96"/>
      <c r="Z20" s="95">
        <f t="shared" si="1"/>
        <v>36.55</v>
      </c>
      <c r="AA20" s="96"/>
      <c r="AB20" s="95">
        <f t="shared" si="2"/>
        <v>237.75</v>
      </c>
    </row>
    <row r="21" spans="1:28" s="90" customFormat="1" ht="15" customHeight="1">
      <c r="A21" s="93" t="s">
        <v>508</v>
      </c>
      <c r="C21" s="94">
        <f>+COUNTIF('Karl Krenz'!$C$5:$C$29,"=qb")</f>
        <v>2</v>
      </c>
      <c r="D21" s="95">
        <f>SUMIF('Karl Krenz'!$C$5:$C$29,"QB",'Karl Krenz'!$F$5:$F$29)</f>
        <v>16.2</v>
      </c>
      <c r="E21" s="96"/>
      <c r="F21" s="94">
        <f>+COUNTIF('Karl Krenz'!$C$5:$C$29,"=rb")</f>
        <v>7</v>
      </c>
      <c r="G21" s="95">
        <f>SUMIF('Karl Krenz'!$C$5:$C$29,"rb",'Karl Krenz'!$F$5:$F$29)</f>
        <v>96.15</v>
      </c>
      <c r="H21" s="96"/>
      <c r="I21" s="94">
        <f>+COUNTIF('Karl Krenz'!$C$5:$C$29,"=wr")</f>
        <v>5</v>
      </c>
      <c r="J21" s="95">
        <f>SUMIF('Karl Krenz'!$C$5:$C$29,"wr",'Karl Krenz'!$F$5:$F$29)</f>
        <v>134.95</v>
      </c>
      <c r="K21" s="96"/>
      <c r="L21" s="94">
        <f>+COUNTIF('Karl Krenz'!$C$5:$C$29,"=te")</f>
        <v>1</v>
      </c>
      <c r="M21" s="95">
        <f>SUMIF('Karl Krenz'!$C$5:$C$29,"te",'Karl Krenz'!$F$5:$F$29)</f>
        <v>19.75</v>
      </c>
      <c r="N21" s="96"/>
      <c r="O21" s="94">
        <f>+COUNTIF('Karl Krenz'!$C$5:$C$29,"=k")</f>
        <v>1</v>
      </c>
      <c r="P21" s="95">
        <f>SUMIF('Karl Krenz'!$C$5:$C$29,"k",'Karl Krenz'!$F$5:$F$29)</f>
        <v>2.8</v>
      </c>
      <c r="Q21" s="96"/>
      <c r="R21" s="94">
        <f>+COUNTIF('Karl Krenz'!$C$5:$C$29,"=dl")</f>
        <v>6</v>
      </c>
      <c r="S21" s="95">
        <f>SUMIF('Karl Krenz'!$C$5:$C$29,"dl",'Karl Krenz'!$F$5:$F$29)</f>
        <v>39.849999999999994</v>
      </c>
      <c r="U21" s="94">
        <f>+COUNTIF('Karl Krenz'!$C$5:$C$29,"=db")</f>
        <v>3</v>
      </c>
      <c r="V21" s="95">
        <f>SUMIF('Karl Krenz'!$C$5:$C$29,"db",'Karl Krenz'!$F$5:$F$29)</f>
        <v>12.9</v>
      </c>
      <c r="X21" s="95">
        <f t="shared" si="0"/>
        <v>269.85</v>
      </c>
      <c r="Y21" s="96"/>
      <c r="Z21" s="95">
        <f t="shared" si="1"/>
        <v>52.74999999999999</v>
      </c>
      <c r="AA21" s="96"/>
      <c r="AB21" s="95">
        <f t="shared" si="2"/>
        <v>322.6</v>
      </c>
    </row>
    <row r="22" spans="1:28" s="90" customFormat="1" ht="15" customHeight="1">
      <c r="A22" s="93" t="s">
        <v>17</v>
      </c>
      <c r="C22" s="94">
        <f>+COUNTIF(Adkisson!$C$5:$C$29,"=qb")</f>
        <v>3</v>
      </c>
      <c r="D22" s="95">
        <f>SUMIF(Adkisson!$C$5:$C$29,"QB",Adkisson!$F$5:$F$29)</f>
        <v>76.85</v>
      </c>
      <c r="E22" s="96"/>
      <c r="F22" s="94">
        <f>+COUNTIF(Adkisson!$C$5:$C$29,"=rb")</f>
        <v>4</v>
      </c>
      <c r="G22" s="95">
        <f>SUMIF(Adkisson!$C$5:$C$29,"rb",Adkisson!$F$5:$F$29)</f>
        <v>57.5</v>
      </c>
      <c r="H22" s="96"/>
      <c r="I22" s="94">
        <f>+COUNTIF(Adkisson!$C$5:$C$29,"=wr")</f>
        <v>4</v>
      </c>
      <c r="J22" s="95">
        <f>SUMIF(Adkisson!$C$5:$C$29,"wr",Adkisson!$F$5:$F$29)</f>
        <v>92.35</v>
      </c>
      <c r="K22" s="96"/>
      <c r="L22" s="94">
        <f>+COUNTIF(Adkisson!$C$5:$C$29,"=te")</f>
        <v>3</v>
      </c>
      <c r="M22" s="95">
        <f>SUMIF(Adkisson!$C$5:$C$29,"te",Adkisson!$F$5:$F$29)</f>
        <v>18.049999999999997</v>
      </c>
      <c r="N22" s="96"/>
      <c r="O22" s="94">
        <f>+COUNTIF(Adkisson!$C$5:$C$29,"=k")</f>
        <v>1</v>
      </c>
      <c r="P22" s="95">
        <f>SUMIF(Adkisson!$C$5:$C$29,"k",Adkisson!$F$5:$F$29)</f>
        <v>7.95</v>
      </c>
      <c r="Q22" s="96"/>
      <c r="R22" s="94">
        <f>+COUNTIF(Adkisson!$C$5:$C$29,"=dl")</f>
        <v>7</v>
      </c>
      <c r="S22" s="95">
        <f>SUMIF(Adkisson!$C$5:$C$29,"dl",Adkisson!$F$5:$F$29)</f>
        <v>35.2</v>
      </c>
      <c r="U22" s="94">
        <f>+COUNTIF(Adkisson!$C$5:$C$29,"=db")</f>
        <v>3</v>
      </c>
      <c r="V22" s="95">
        <f>SUMIF(Adkisson!$C$5:$C$29,"db",Adkisson!$F$5:$F$29)</f>
        <v>13.7</v>
      </c>
      <c r="X22" s="95">
        <f t="shared" si="0"/>
        <v>252.7</v>
      </c>
      <c r="Y22" s="96"/>
      <c r="Z22" s="95">
        <f t="shared" si="1"/>
        <v>48.900000000000006</v>
      </c>
      <c r="AA22" s="96"/>
      <c r="AB22" s="95">
        <f t="shared" si="2"/>
        <v>301.6</v>
      </c>
    </row>
    <row r="23" spans="1:28" s="90" customFormat="1" ht="15" customHeight="1">
      <c r="A23" s="93" t="s">
        <v>47</v>
      </c>
      <c r="C23" s="94">
        <f>+COUNTIF(Chockalingam!$C$5:$C$29,"=qb")</f>
        <v>4</v>
      </c>
      <c r="D23" s="95">
        <f>SUMIF(Chockalingam!$C$5:$C$29,"QB",Chockalingam!$F$5:$F$29)</f>
        <v>102.75</v>
      </c>
      <c r="E23" s="96"/>
      <c r="F23" s="94">
        <f>+COUNTIF(Chockalingam!$C$5:$C$29,"=rb")</f>
        <v>3</v>
      </c>
      <c r="G23" s="95">
        <f>SUMIF(Chockalingam!$C$5:$C$29,"rb",Chockalingam!$F$5:$F$29)</f>
        <v>58.15</v>
      </c>
      <c r="H23" s="96"/>
      <c r="I23" s="94">
        <f>+COUNTIF(Chockalingam!$C$5:$C$29,"=wr")</f>
        <v>6</v>
      </c>
      <c r="J23" s="95">
        <f>SUMIF(Chockalingam!$C$5:$C$29,"wr",Chockalingam!$F$5:$F$29)</f>
        <v>55</v>
      </c>
      <c r="K23" s="96"/>
      <c r="L23" s="94">
        <f>+COUNTIF(Chockalingam!$C$5:$C$29,"=te")</f>
        <v>2</v>
      </c>
      <c r="M23" s="95">
        <f>SUMIF(Chockalingam!$C$5:$C$29,"te",Chockalingam!$F$5:$F$29)</f>
        <v>30.650000000000002</v>
      </c>
      <c r="N23" s="96"/>
      <c r="O23" s="94">
        <f>+COUNTIF(Chockalingam!$C$5:$C$29,"=k")</f>
        <v>1</v>
      </c>
      <c r="P23" s="95">
        <f>SUMIF(Chockalingam!$C$5:$C$29,"k",Chockalingam!$F$5:$F$29)</f>
        <v>7.8</v>
      </c>
      <c r="Q23" s="96"/>
      <c r="R23" s="94">
        <f>+COUNTIF(Chockalingam!$C$5:$C$29,"=dl")</f>
        <v>6</v>
      </c>
      <c r="S23" s="95">
        <f>SUMIF(Chockalingam!$C$5:$C$29,"dl",Chockalingam!$F$5:$F$29)</f>
        <v>29.95</v>
      </c>
      <c r="U23" s="94">
        <f>+COUNTIF(Chockalingam!$C$5:$C$29,"=db")</f>
        <v>3</v>
      </c>
      <c r="V23" s="95">
        <f>SUMIF(Chockalingam!$C$5:$C$29,"db",Chockalingam!$F$5:$F$29)</f>
        <v>8.7</v>
      </c>
      <c r="X23" s="95">
        <f t="shared" si="0"/>
        <v>254.35000000000002</v>
      </c>
      <c r="Y23" s="96"/>
      <c r="Z23" s="95">
        <f t="shared" si="1"/>
        <v>38.65</v>
      </c>
      <c r="AA23" s="96"/>
      <c r="AB23" s="95">
        <f t="shared" si="2"/>
        <v>293</v>
      </c>
    </row>
    <row r="24" spans="1:28" s="90" customFormat="1" ht="15" customHeight="1">
      <c r="A24" s="93" t="s">
        <v>19</v>
      </c>
      <c r="C24" s="94">
        <f>+COUNTIF(Meinen!$C$5:$C$29,"=qb")</f>
        <v>1</v>
      </c>
      <c r="D24" s="95">
        <f>SUMIF(Meinen!$C$5:$C$29,"QB",Meinen!$F$5:$F$29)</f>
        <v>82.25</v>
      </c>
      <c r="E24" s="96"/>
      <c r="F24" s="94">
        <f>+COUNTIF(Meinen!$C$5:$C$29,"=rb")</f>
        <v>6</v>
      </c>
      <c r="G24" s="95">
        <f>SUMIF(Meinen!$C$5:$C$29,"rb",Meinen!$F$5:$F$29)</f>
        <v>112.5</v>
      </c>
      <c r="H24" s="96"/>
      <c r="I24" s="94">
        <f>+COUNTIF(Meinen!$C$5:$C$29,"=wr")</f>
        <v>6</v>
      </c>
      <c r="J24" s="95">
        <f>SUMIF(Meinen!$C$5:$C$29,"wr",Meinen!$F$5:$F$29)</f>
        <v>53.9</v>
      </c>
      <c r="K24" s="96"/>
      <c r="L24" s="94">
        <f>+COUNTIF(Meinen!$C$5:$C$29,"=te")</f>
        <v>2</v>
      </c>
      <c r="M24" s="95">
        <f>SUMIF(Meinen!$C$5:$C$29,"te",Meinen!$F$5:$F$29)</f>
        <v>5.55</v>
      </c>
      <c r="N24" s="96"/>
      <c r="O24" s="94">
        <f>+COUNTIF(Meinen!$C$5:$C$29,"=k")</f>
        <v>2</v>
      </c>
      <c r="P24" s="95">
        <f>SUMIF(Meinen!$C$5:$C$29,"k",Meinen!$F$5:$F$29)</f>
        <v>6</v>
      </c>
      <c r="Q24" s="96"/>
      <c r="R24" s="94">
        <f>+COUNTIF(Meinen!$C$5:$C$29,"=dl")</f>
        <v>5</v>
      </c>
      <c r="S24" s="95">
        <f>SUMIF(Meinen!$C$5:$C$29,"dl",Meinen!$F$5:$F$29)</f>
        <v>15.8</v>
      </c>
      <c r="U24" s="94">
        <f>+COUNTIF(Meinen!$C$5:$C$29,"=db")</f>
        <v>3</v>
      </c>
      <c r="V24" s="95">
        <f>SUMIF(Meinen!$C$5:$C$29,"db",Meinen!$F$5:$F$29)</f>
        <v>9</v>
      </c>
      <c r="X24" s="95">
        <f t="shared" si="0"/>
        <v>260.20000000000005</v>
      </c>
      <c r="Y24" s="96"/>
      <c r="Z24" s="95">
        <f t="shared" si="1"/>
        <v>24.8</v>
      </c>
      <c r="AA24" s="96"/>
      <c r="AB24" s="95">
        <f t="shared" si="2"/>
        <v>285.00000000000006</v>
      </c>
    </row>
    <row r="25" ht="12.75">
      <c r="O25" s="97"/>
    </row>
    <row r="26" spans="1:22" ht="15">
      <c r="A26" s="98" t="s">
        <v>48</v>
      </c>
      <c r="D26" s="99">
        <f>+SUM(C5:C24)</f>
        <v>46</v>
      </c>
      <c r="G26" s="99">
        <f>+SUM(F5:F24)</f>
        <v>90</v>
      </c>
      <c r="J26" s="99">
        <f>+SUM(I5:I24)</f>
        <v>111</v>
      </c>
      <c r="M26" s="99">
        <f>+SUM(L5:L24)</f>
        <v>41</v>
      </c>
      <c r="P26" s="99">
        <f>+SUM(O5:O24)</f>
        <v>28</v>
      </c>
      <c r="S26" s="99">
        <f>+SUM(R5:R24)</f>
        <v>116</v>
      </c>
      <c r="V26" s="99">
        <f>+SUM(U5:U24)</f>
        <v>62</v>
      </c>
    </row>
    <row r="27" spans="1:28" ht="15">
      <c r="A27" s="98" t="s">
        <v>49</v>
      </c>
      <c r="D27" s="100">
        <f>+SUM(D5:D24)/D26</f>
        <v>21.096739130434784</v>
      </c>
      <c r="G27" s="100">
        <f>+SUM(G5:G24)/G26</f>
        <v>14.041111111111112</v>
      </c>
      <c r="J27" s="100">
        <f>+SUM(J5:J24)/J26</f>
        <v>16.181981981981984</v>
      </c>
      <c r="M27" s="100">
        <f>+SUM(M5:M24)/M26</f>
        <v>11.247560975609755</v>
      </c>
      <c r="P27" s="100">
        <f>+SUM(P5:P24)/P26</f>
        <v>5.057142857142858</v>
      </c>
      <c r="S27" s="100">
        <f>+SUM(S5:S24)/S26</f>
        <v>4.914224137931035</v>
      </c>
      <c r="V27" s="100">
        <f>+SUM(V5:V24)/V26</f>
        <v>4.606451612903226</v>
      </c>
      <c r="X27" s="100">
        <f>+AVERAGE(X5:X24)</f>
        <v>231.65500000000003</v>
      </c>
      <c r="Z27" s="100">
        <f>+AVERAGE(Z5:Z24)</f>
        <v>42.7825</v>
      </c>
      <c r="AB27" s="100">
        <f>+AVERAGE(AB5:AB24)</f>
        <v>274.4375000000001</v>
      </c>
    </row>
    <row r="28" ht="12.75">
      <c r="X28" s="100"/>
    </row>
    <row r="29" spans="1:28" ht="18.75">
      <c r="A29" s="82" t="s">
        <v>286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3"/>
      <c r="Z29" s="83"/>
      <c r="AA29" s="83"/>
      <c r="AB29" s="83"/>
    </row>
    <row r="31" spans="1:22" ht="15">
      <c r="A31" s="89" t="s">
        <v>1</v>
      </c>
      <c r="B31" s="90"/>
      <c r="C31" s="116" t="s">
        <v>38</v>
      </c>
      <c r="D31" s="116"/>
      <c r="E31" s="105"/>
      <c r="F31" s="116" t="s">
        <v>39</v>
      </c>
      <c r="G31" s="116"/>
      <c r="H31" s="105"/>
      <c r="I31" s="116" t="s">
        <v>40</v>
      </c>
      <c r="J31" s="116"/>
      <c r="K31" s="105"/>
      <c r="L31" s="116" t="s">
        <v>41</v>
      </c>
      <c r="M31" s="116"/>
      <c r="N31" s="105"/>
      <c r="O31" s="116" t="s">
        <v>42</v>
      </c>
      <c r="P31" s="116"/>
      <c r="Q31" s="105"/>
      <c r="R31" s="116" t="s">
        <v>43</v>
      </c>
      <c r="S31" s="116"/>
      <c r="T31" s="105"/>
      <c r="U31" s="116" t="s">
        <v>44</v>
      </c>
      <c r="V31" s="116"/>
    </row>
    <row r="32" spans="1:22" ht="15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</row>
    <row r="33" spans="1:22" ht="15">
      <c r="A33" s="93" t="s">
        <v>10</v>
      </c>
      <c r="B33" s="90"/>
      <c r="C33" s="117" t="str">
        <f>IF(C5&gt;=2,"None",2-C5)</f>
        <v>None</v>
      </c>
      <c r="D33" s="117"/>
      <c r="E33" s="96"/>
      <c r="F33" s="117" t="str">
        <f>IF(F5&gt;=4,"None",4-F5)</f>
        <v>None</v>
      </c>
      <c r="G33" s="117"/>
      <c r="H33" s="96"/>
      <c r="I33" s="117" t="str">
        <f>IF(I5&gt;=5,"None",5-I5)</f>
        <v>None</v>
      </c>
      <c r="J33" s="117"/>
      <c r="K33" s="96"/>
      <c r="L33" s="117" t="str">
        <f>IF(L5&gt;=2,"None",2-L5)</f>
        <v>None</v>
      </c>
      <c r="M33" s="117"/>
      <c r="N33" s="96"/>
      <c r="O33" s="117" t="str">
        <f>IF(O5&gt;=1,"None",1-O5)</f>
        <v>None</v>
      </c>
      <c r="P33" s="117"/>
      <c r="Q33" s="96"/>
      <c r="R33" s="117" t="str">
        <f>IF(R5&gt;=5,"None",5-R5)</f>
        <v>None</v>
      </c>
      <c r="S33" s="117"/>
      <c r="T33" s="90"/>
      <c r="U33" s="117" t="str">
        <f>IF(U5&gt;=3,"None",3-U5)</f>
        <v>None</v>
      </c>
      <c r="V33" s="117"/>
    </row>
    <row r="34" spans="1:22" ht="15">
      <c r="A34" s="93" t="s">
        <v>16</v>
      </c>
      <c r="B34" s="90"/>
      <c r="C34" s="117" t="str">
        <f aca="true" t="shared" si="3" ref="C34:C52">IF(C6&gt;=2,"None",2-C6)</f>
        <v>None</v>
      </c>
      <c r="D34" s="117"/>
      <c r="E34" s="96"/>
      <c r="F34" s="117">
        <f aca="true" t="shared" si="4" ref="F34:F52">IF(F6&gt;=4,"None",4-F6)</f>
        <v>1</v>
      </c>
      <c r="G34" s="117"/>
      <c r="H34" s="96"/>
      <c r="I34" s="117">
        <f aca="true" t="shared" si="5" ref="I34:I52">IF(I6&gt;=5,"None",5-I6)</f>
        <v>1</v>
      </c>
      <c r="J34" s="117"/>
      <c r="K34" s="96"/>
      <c r="L34" s="117">
        <f aca="true" t="shared" si="6" ref="L34:L52">IF(L6&gt;=2,"None",2-L6)</f>
        <v>1</v>
      </c>
      <c r="M34" s="117"/>
      <c r="N34" s="96"/>
      <c r="O34" s="117" t="str">
        <f aca="true" t="shared" si="7" ref="O34:O52">IF(O6&gt;=1,"None",1-O6)</f>
        <v>None</v>
      </c>
      <c r="P34" s="117"/>
      <c r="Q34" s="96"/>
      <c r="R34" s="117" t="str">
        <f aca="true" t="shared" si="8" ref="R34:R52">IF(R6&gt;=5,"None",5-R6)</f>
        <v>None</v>
      </c>
      <c r="S34" s="117"/>
      <c r="T34" s="90"/>
      <c r="U34" s="117" t="str">
        <f aca="true" t="shared" si="9" ref="U34:U52">IF(U6&gt;=3,"None",3-U6)</f>
        <v>None</v>
      </c>
      <c r="V34" s="117"/>
    </row>
    <row r="35" spans="1:22" ht="15">
      <c r="A35" s="93" t="s">
        <v>12</v>
      </c>
      <c r="B35" s="90"/>
      <c r="C35" s="117" t="str">
        <f t="shared" si="3"/>
        <v>None</v>
      </c>
      <c r="D35" s="117"/>
      <c r="E35" s="96"/>
      <c r="F35" s="117" t="str">
        <f t="shared" si="4"/>
        <v>None</v>
      </c>
      <c r="G35" s="117"/>
      <c r="H35" s="96"/>
      <c r="I35" s="117" t="str">
        <f t="shared" si="5"/>
        <v>None</v>
      </c>
      <c r="J35" s="117"/>
      <c r="K35" s="96"/>
      <c r="L35" s="117" t="str">
        <f t="shared" si="6"/>
        <v>None</v>
      </c>
      <c r="M35" s="117"/>
      <c r="N35" s="96"/>
      <c r="O35" s="117" t="str">
        <f t="shared" si="7"/>
        <v>None</v>
      </c>
      <c r="P35" s="117"/>
      <c r="Q35" s="96"/>
      <c r="R35" s="117" t="str">
        <f t="shared" si="8"/>
        <v>None</v>
      </c>
      <c r="S35" s="117"/>
      <c r="T35" s="90"/>
      <c r="U35" s="117">
        <f t="shared" si="9"/>
        <v>1</v>
      </c>
      <c r="V35" s="117"/>
    </row>
    <row r="36" spans="1:22" ht="15">
      <c r="A36" s="93" t="s">
        <v>15</v>
      </c>
      <c r="B36" s="93"/>
      <c r="C36" s="117" t="str">
        <f t="shared" si="3"/>
        <v>None</v>
      </c>
      <c r="D36" s="117"/>
      <c r="E36" s="96"/>
      <c r="F36" s="117" t="str">
        <f t="shared" si="4"/>
        <v>None</v>
      </c>
      <c r="G36" s="117"/>
      <c r="H36" s="96"/>
      <c r="I36" s="117" t="str">
        <f t="shared" si="5"/>
        <v>None</v>
      </c>
      <c r="J36" s="117"/>
      <c r="K36" s="96"/>
      <c r="L36" s="117" t="str">
        <f t="shared" si="6"/>
        <v>None</v>
      </c>
      <c r="M36" s="117"/>
      <c r="N36" s="96"/>
      <c r="O36" s="117" t="str">
        <f t="shared" si="7"/>
        <v>None</v>
      </c>
      <c r="P36" s="117"/>
      <c r="Q36" s="96"/>
      <c r="R36" s="117" t="str">
        <f t="shared" si="8"/>
        <v>None</v>
      </c>
      <c r="S36" s="117"/>
      <c r="T36" s="90"/>
      <c r="U36" s="117" t="str">
        <f t="shared" si="9"/>
        <v>None</v>
      </c>
      <c r="V36" s="117"/>
    </row>
    <row r="37" spans="1:22" ht="15">
      <c r="A37" s="93" t="s">
        <v>188</v>
      </c>
      <c r="B37" s="93"/>
      <c r="C37" s="117">
        <f t="shared" si="3"/>
        <v>1</v>
      </c>
      <c r="D37" s="117"/>
      <c r="E37" s="96"/>
      <c r="F37" s="117" t="str">
        <f t="shared" si="4"/>
        <v>None</v>
      </c>
      <c r="G37" s="117"/>
      <c r="H37" s="96"/>
      <c r="I37" s="117" t="str">
        <f t="shared" si="5"/>
        <v>None</v>
      </c>
      <c r="J37" s="117"/>
      <c r="K37" s="96"/>
      <c r="L37" s="117" t="str">
        <f t="shared" si="6"/>
        <v>None</v>
      </c>
      <c r="M37" s="117"/>
      <c r="N37" s="96"/>
      <c r="O37" s="117" t="str">
        <f t="shared" si="7"/>
        <v>None</v>
      </c>
      <c r="P37" s="117"/>
      <c r="Q37" s="96"/>
      <c r="R37" s="117" t="str">
        <f t="shared" si="8"/>
        <v>None</v>
      </c>
      <c r="S37" s="117"/>
      <c r="T37" s="90"/>
      <c r="U37" s="117">
        <f t="shared" si="9"/>
        <v>1</v>
      </c>
      <c r="V37" s="117"/>
    </row>
    <row r="38" spans="1:22" ht="15">
      <c r="A38" s="93" t="s">
        <v>91</v>
      </c>
      <c r="B38" s="90"/>
      <c r="C38" s="117" t="str">
        <f t="shared" si="3"/>
        <v>None</v>
      </c>
      <c r="D38" s="117"/>
      <c r="E38" s="96"/>
      <c r="F38" s="117">
        <f t="shared" si="4"/>
        <v>1</v>
      </c>
      <c r="G38" s="117"/>
      <c r="H38" s="96"/>
      <c r="I38" s="117">
        <f t="shared" si="5"/>
        <v>1</v>
      </c>
      <c r="J38" s="117"/>
      <c r="K38" s="96"/>
      <c r="L38" s="117" t="str">
        <f t="shared" si="6"/>
        <v>None</v>
      </c>
      <c r="M38" s="117"/>
      <c r="N38" s="96"/>
      <c r="O38" s="117" t="str">
        <f t="shared" si="7"/>
        <v>None</v>
      </c>
      <c r="P38" s="117"/>
      <c r="Q38" s="96"/>
      <c r="R38" s="117" t="str">
        <f t="shared" si="8"/>
        <v>None</v>
      </c>
      <c r="S38" s="117"/>
      <c r="T38" s="90"/>
      <c r="U38" s="117" t="str">
        <f t="shared" si="9"/>
        <v>None</v>
      </c>
      <c r="V38" s="117"/>
    </row>
    <row r="39" spans="1:22" ht="15">
      <c r="A39" s="93" t="s">
        <v>280</v>
      </c>
      <c r="B39" s="90"/>
      <c r="C39" s="117" t="str">
        <f t="shared" si="3"/>
        <v>None</v>
      </c>
      <c r="D39" s="117"/>
      <c r="E39" s="96"/>
      <c r="F39" s="117" t="str">
        <f t="shared" si="4"/>
        <v>None</v>
      </c>
      <c r="G39" s="117"/>
      <c r="H39" s="96"/>
      <c r="I39" s="117" t="str">
        <f t="shared" si="5"/>
        <v>None</v>
      </c>
      <c r="J39" s="117"/>
      <c r="K39" s="96"/>
      <c r="L39" s="117" t="str">
        <f t="shared" si="6"/>
        <v>None</v>
      </c>
      <c r="M39" s="117"/>
      <c r="N39" s="96"/>
      <c r="O39" s="117" t="str">
        <f t="shared" si="7"/>
        <v>None</v>
      </c>
      <c r="P39" s="117"/>
      <c r="Q39" s="96"/>
      <c r="R39" s="117" t="str">
        <f t="shared" si="8"/>
        <v>None</v>
      </c>
      <c r="S39" s="117"/>
      <c r="T39" s="90"/>
      <c r="U39" s="117" t="str">
        <f t="shared" si="9"/>
        <v>None</v>
      </c>
      <c r="V39" s="117"/>
    </row>
    <row r="40" spans="1:22" ht="15">
      <c r="A40" s="93" t="s">
        <v>14</v>
      </c>
      <c r="B40" s="90"/>
      <c r="C40" s="117" t="str">
        <f t="shared" si="3"/>
        <v>None</v>
      </c>
      <c r="D40" s="117"/>
      <c r="E40" s="96"/>
      <c r="F40" s="117" t="str">
        <f t="shared" si="4"/>
        <v>None</v>
      </c>
      <c r="G40" s="117"/>
      <c r="H40" s="96"/>
      <c r="I40" s="117" t="str">
        <f t="shared" si="5"/>
        <v>None</v>
      </c>
      <c r="J40" s="117"/>
      <c r="K40" s="96"/>
      <c r="L40" s="117" t="str">
        <f t="shared" si="6"/>
        <v>None</v>
      </c>
      <c r="M40" s="117"/>
      <c r="N40" s="96"/>
      <c r="O40" s="117" t="str">
        <f t="shared" si="7"/>
        <v>None</v>
      </c>
      <c r="P40" s="117"/>
      <c r="Q40" s="96"/>
      <c r="R40" s="117" t="str">
        <f t="shared" si="8"/>
        <v>None</v>
      </c>
      <c r="S40" s="117"/>
      <c r="T40" s="90"/>
      <c r="U40" s="117" t="str">
        <f t="shared" si="9"/>
        <v>None</v>
      </c>
      <c r="V40" s="117"/>
    </row>
    <row r="41" spans="1:22" ht="15">
      <c r="A41" s="93" t="s">
        <v>102</v>
      </c>
      <c r="B41" s="90"/>
      <c r="C41" s="117" t="str">
        <f t="shared" si="3"/>
        <v>None</v>
      </c>
      <c r="D41" s="117"/>
      <c r="E41" s="96"/>
      <c r="F41" s="117">
        <f t="shared" si="4"/>
        <v>1</v>
      </c>
      <c r="G41" s="117"/>
      <c r="H41" s="96"/>
      <c r="I41" s="117" t="str">
        <f t="shared" si="5"/>
        <v>None</v>
      </c>
      <c r="J41" s="117"/>
      <c r="K41" s="96"/>
      <c r="L41" s="117" t="str">
        <f t="shared" si="6"/>
        <v>None</v>
      </c>
      <c r="M41" s="117"/>
      <c r="N41" s="96"/>
      <c r="O41" s="117" t="str">
        <f t="shared" si="7"/>
        <v>None</v>
      </c>
      <c r="P41" s="117"/>
      <c r="Q41" s="96"/>
      <c r="R41" s="117" t="str">
        <f t="shared" si="8"/>
        <v>None</v>
      </c>
      <c r="S41" s="117"/>
      <c r="T41" s="90"/>
      <c r="U41" s="117" t="str">
        <f t="shared" si="9"/>
        <v>None</v>
      </c>
      <c r="V41" s="117"/>
    </row>
    <row r="42" spans="1:22" ht="15">
      <c r="A42" s="93" t="s">
        <v>13</v>
      </c>
      <c r="B42" s="90"/>
      <c r="C42" s="117" t="str">
        <f t="shared" si="3"/>
        <v>None</v>
      </c>
      <c r="D42" s="117"/>
      <c r="E42" s="96"/>
      <c r="F42" s="117" t="str">
        <f t="shared" si="4"/>
        <v>None</v>
      </c>
      <c r="G42" s="117"/>
      <c r="H42" s="96"/>
      <c r="I42" s="117">
        <f t="shared" si="5"/>
        <v>1</v>
      </c>
      <c r="J42" s="117"/>
      <c r="K42" s="96"/>
      <c r="L42" s="117" t="str">
        <f t="shared" si="6"/>
        <v>None</v>
      </c>
      <c r="M42" s="117"/>
      <c r="N42" s="96"/>
      <c r="O42" s="117" t="str">
        <f t="shared" si="7"/>
        <v>None</v>
      </c>
      <c r="P42" s="117"/>
      <c r="Q42" s="96"/>
      <c r="R42" s="117" t="str">
        <f t="shared" si="8"/>
        <v>None</v>
      </c>
      <c r="S42" s="117"/>
      <c r="T42" s="90"/>
      <c r="U42" s="117" t="str">
        <f t="shared" si="9"/>
        <v>None</v>
      </c>
      <c r="V42" s="117"/>
    </row>
    <row r="43" spans="1:22" ht="15">
      <c r="A43" s="93" t="s">
        <v>99</v>
      </c>
      <c r="B43" s="90"/>
      <c r="C43" s="117">
        <f t="shared" si="3"/>
        <v>1</v>
      </c>
      <c r="D43" s="117"/>
      <c r="E43" s="96"/>
      <c r="F43" s="117" t="str">
        <f t="shared" si="4"/>
        <v>None</v>
      </c>
      <c r="G43" s="117"/>
      <c r="H43" s="96"/>
      <c r="I43" s="117" t="str">
        <f t="shared" si="5"/>
        <v>None</v>
      </c>
      <c r="J43" s="117"/>
      <c r="K43" s="96"/>
      <c r="L43" s="117" t="str">
        <f t="shared" si="6"/>
        <v>None</v>
      </c>
      <c r="M43" s="117"/>
      <c r="N43" s="96"/>
      <c r="O43" s="117" t="str">
        <f t="shared" si="7"/>
        <v>None</v>
      </c>
      <c r="P43" s="117"/>
      <c r="Q43" s="96"/>
      <c r="R43" s="117" t="str">
        <f t="shared" si="8"/>
        <v>None</v>
      </c>
      <c r="S43" s="117"/>
      <c r="T43" s="90"/>
      <c r="U43" s="117" t="str">
        <f t="shared" si="9"/>
        <v>None</v>
      </c>
      <c r="V43" s="117"/>
    </row>
    <row r="44" spans="1:22" ht="15">
      <c r="A44" s="93" t="s">
        <v>108</v>
      </c>
      <c r="B44" s="90"/>
      <c r="C44" s="117" t="str">
        <f t="shared" si="3"/>
        <v>None</v>
      </c>
      <c r="D44" s="117"/>
      <c r="E44" s="96"/>
      <c r="F44" s="117">
        <f t="shared" si="4"/>
        <v>1</v>
      </c>
      <c r="G44" s="117"/>
      <c r="H44" s="96"/>
      <c r="I44" s="117">
        <f t="shared" si="5"/>
        <v>1</v>
      </c>
      <c r="J44" s="117"/>
      <c r="K44" s="96"/>
      <c r="L44" s="117" t="str">
        <f t="shared" si="6"/>
        <v>None</v>
      </c>
      <c r="M44" s="117"/>
      <c r="N44" s="96"/>
      <c r="O44" s="117" t="str">
        <f t="shared" si="7"/>
        <v>None</v>
      </c>
      <c r="P44" s="117"/>
      <c r="Q44" s="96"/>
      <c r="R44" s="117" t="str">
        <f t="shared" si="8"/>
        <v>None</v>
      </c>
      <c r="S44" s="117"/>
      <c r="T44" s="90"/>
      <c r="U44" s="117" t="str">
        <f t="shared" si="9"/>
        <v>None</v>
      </c>
      <c r="V44" s="117"/>
    </row>
    <row r="45" spans="1:22" ht="15">
      <c r="A45" s="93" t="s">
        <v>279</v>
      </c>
      <c r="B45" s="90"/>
      <c r="C45" s="117" t="str">
        <f t="shared" si="3"/>
        <v>None</v>
      </c>
      <c r="D45" s="117"/>
      <c r="E45" s="96"/>
      <c r="F45" s="117" t="str">
        <f t="shared" si="4"/>
        <v>None</v>
      </c>
      <c r="G45" s="117"/>
      <c r="H45" s="96"/>
      <c r="I45" s="117" t="str">
        <f t="shared" si="5"/>
        <v>None</v>
      </c>
      <c r="J45" s="117"/>
      <c r="K45" s="96"/>
      <c r="L45" s="117" t="str">
        <f t="shared" si="6"/>
        <v>None</v>
      </c>
      <c r="M45" s="117"/>
      <c r="N45" s="96"/>
      <c r="O45" s="117" t="str">
        <f t="shared" si="7"/>
        <v>None</v>
      </c>
      <c r="P45" s="117"/>
      <c r="Q45" s="96"/>
      <c r="R45" s="117">
        <f t="shared" si="8"/>
        <v>1</v>
      </c>
      <c r="S45" s="117"/>
      <c r="T45" s="90"/>
      <c r="U45" s="117">
        <f t="shared" si="9"/>
        <v>1</v>
      </c>
      <c r="V45" s="117"/>
    </row>
    <row r="46" spans="1:22" ht="15">
      <c r="A46" s="93" t="s">
        <v>11</v>
      </c>
      <c r="B46" s="90"/>
      <c r="C46" s="117">
        <f t="shared" si="3"/>
        <v>1</v>
      </c>
      <c r="D46" s="117"/>
      <c r="E46" s="96"/>
      <c r="F46" s="117" t="str">
        <f t="shared" si="4"/>
        <v>None</v>
      </c>
      <c r="G46" s="117"/>
      <c r="H46" s="96"/>
      <c r="I46" s="117" t="str">
        <f t="shared" si="5"/>
        <v>None</v>
      </c>
      <c r="J46" s="117"/>
      <c r="K46" s="96"/>
      <c r="L46" s="117" t="str">
        <f t="shared" si="6"/>
        <v>None</v>
      </c>
      <c r="M46" s="117"/>
      <c r="N46" s="96"/>
      <c r="O46" s="117" t="str">
        <f t="shared" si="7"/>
        <v>None</v>
      </c>
      <c r="P46" s="117"/>
      <c r="Q46" s="96"/>
      <c r="R46" s="117" t="str">
        <f t="shared" si="8"/>
        <v>None</v>
      </c>
      <c r="S46" s="117"/>
      <c r="T46" s="90"/>
      <c r="U46" s="117" t="str">
        <f t="shared" si="9"/>
        <v>None</v>
      </c>
      <c r="V46" s="117"/>
    </row>
    <row r="47" spans="1:22" ht="15">
      <c r="A47" s="93" t="s">
        <v>278</v>
      </c>
      <c r="B47" s="90"/>
      <c r="C47" s="117">
        <f t="shared" si="3"/>
        <v>1</v>
      </c>
      <c r="D47" s="117"/>
      <c r="E47" s="96"/>
      <c r="F47" s="117" t="str">
        <f t="shared" si="4"/>
        <v>None</v>
      </c>
      <c r="G47" s="117"/>
      <c r="H47" s="96"/>
      <c r="I47" s="117" t="str">
        <f t="shared" si="5"/>
        <v>None</v>
      </c>
      <c r="J47" s="117"/>
      <c r="K47" s="96"/>
      <c r="L47" s="117" t="str">
        <f t="shared" si="6"/>
        <v>None</v>
      </c>
      <c r="M47" s="117"/>
      <c r="N47" s="96"/>
      <c r="O47" s="117" t="str">
        <f t="shared" si="7"/>
        <v>None</v>
      </c>
      <c r="P47" s="117"/>
      <c r="Q47" s="96"/>
      <c r="R47" s="117" t="str">
        <f t="shared" si="8"/>
        <v>None</v>
      </c>
      <c r="S47" s="117"/>
      <c r="T47" s="90"/>
      <c r="U47" s="117" t="str">
        <f t="shared" si="9"/>
        <v>None</v>
      </c>
      <c r="V47" s="117"/>
    </row>
    <row r="48" spans="1:22" ht="15">
      <c r="A48" s="93" t="s">
        <v>92</v>
      </c>
      <c r="B48" s="90"/>
      <c r="C48" s="117" t="str">
        <f t="shared" si="3"/>
        <v>None</v>
      </c>
      <c r="D48" s="117"/>
      <c r="E48" s="96"/>
      <c r="F48" s="117" t="str">
        <f t="shared" si="4"/>
        <v>None</v>
      </c>
      <c r="G48" s="117"/>
      <c r="H48" s="96"/>
      <c r="I48" s="117" t="str">
        <f t="shared" si="5"/>
        <v>None</v>
      </c>
      <c r="J48" s="117"/>
      <c r="K48" s="96"/>
      <c r="L48" s="117" t="str">
        <f t="shared" si="6"/>
        <v>None</v>
      </c>
      <c r="M48" s="117"/>
      <c r="N48" s="96"/>
      <c r="O48" s="117" t="str">
        <f t="shared" si="7"/>
        <v>None</v>
      </c>
      <c r="P48" s="117"/>
      <c r="Q48" s="96"/>
      <c r="R48" s="117" t="str">
        <f t="shared" si="8"/>
        <v>None</v>
      </c>
      <c r="S48" s="117"/>
      <c r="T48" s="90"/>
      <c r="U48" s="117" t="str">
        <f t="shared" si="9"/>
        <v>None</v>
      </c>
      <c r="V48" s="117"/>
    </row>
    <row r="49" spans="1:22" ht="15">
      <c r="A49" s="93" t="s">
        <v>508</v>
      </c>
      <c r="B49" s="90"/>
      <c r="C49" s="117" t="str">
        <f t="shared" si="3"/>
        <v>None</v>
      </c>
      <c r="D49" s="117"/>
      <c r="E49" s="96"/>
      <c r="F49" s="117" t="str">
        <f t="shared" si="4"/>
        <v>None</v>
      </c>
      <c r="G49" s="117"/>
      <c r="H49" s="96"/>
      <c r="I49" s="117" t="str">
        <f t="shared" si="5"/>
        <v>None</v>
      </c>
      <c r="J49" s="117"/>
      <c r="K49" s="96"/>
      <c r="L49" s="117">
        <f t="shared" si="6"/>
        <v>1</v>
      </c>
      <c r="M49" s="117"/>
      <c r="N49" s="96"/>
      <c r="O49" s="117" t="str">
        <f t="shared" si="7"/>
        <v>None</v>
      </c>
      <c r="P49" s="117"/>
      <c r="Q49" s="96"/>
      <c r="R49" s="117" t="str">
        <f t="shared" si="8"/>
        <v>None</v>
      </c>
      <c r="S49" s="117"/>
      <c r="T49" s="90"/>
      <c r="U49" s="117" t="str">
        <f t="shared" si="9"/>
        <v>None</v>
      </c>
      <c r="V49" s="117"/>
    </row>
    <row r="50" spans="1:22" ht="15">
      <c r="A50" s="93" t="s">
        <v>17</v>
      </c>
      <c r="B50" s="90"/>
      <c r="C50" s="117" t="str">
        <f t="shared" si="3"/>
        <v>None</v>
      </c>
      <c r="D50" s="117"/>
      <c r="E50" s="96"/>
      <c r="F50" s="117" t="str">
        <f t="shared" si="4"/>
        <v>None</v>
      </c>
      <c r="G50" s="117"/>
      <c r="H50" s="96"/>
      <c r="I50" s="117">
        <f t="shared" si="5"/>
        <v>1</v>
      </c>
      <c r="J50" s="117"/>
      <c r="K50" s="96"/>
      <c r="L50" s="117" t="str">
        <f t="shared" si="6"/>
        <v>None</v>
      </c>
      <c r="M50" s="117"/>
      <c r="N50" s="96"/>
      <c r="O50" s="117" t="str">
        <f t="shared" si="7"/>
        <v>None</v>
      </c>
      <c r="P50" s="117"/>
      <c r="Q50" s="96"/>
      <c r="R50" s="117" t="str">
        <f t="shared" si="8"/>
        <v>None</v>
      </c>
      <c r="S50" s="117"/>
      <c r="T50" s="90"/>
      <c r="U50" s="117" t="str">
        <f t="shared" si="9"/>
        <v>None</v>
      </c>
      <c r="V50" s="117"/>
    </row>
    <row r="51" spans="1:22" ht="15">
      <c r="A51" s="93" t="s">
        <v>47</v>
      </c>
      <c r="B51" s="90"/>
      <c r="C51" s="117" t="str">
        <f t="shared" si="3"/>
        <v>None</v>
      </c>
      <c r="D51" s="117"/>
      <c r="E51" s="96"/>
      <c r="F51" s="117">
        <f t="shared" si="4"/>
        <v>1</v>
      </c>
      <c r="G51" s="117"/>
      <c r="H51" s="96"/>
      <c r="I51" s="117" t="str">
        <f t="shared" si="5"/>
        <v>None</v>
      </c>
      <c r="J51" s="117"/>
      <c r="K51" s="96"/>
      <c r="L51" s="117" t="str">
        <f t="shared" si="6"/>
        <v>None</v>
      </c>
      <c r="M51" s="117"/>
      <c r="N51" s="96"/>
      <c r="O51" s="117" t="str">
        <f t="shared" si="7"/>
        <v>None</v>
      </c>
      <c r="P51" s="117"/>
      <c r="Q51" s="96"/>
      <c r="R51" s="117" t="str">
        <f t="shared" si="8"/>
        <v>None</v>
      </c>
      <c r="S51" s="117"/>
      <c r="T51" s="90"/>
      <c r="U51" s="117" t="str">
        <f t="shared" si="9"/>
        <v>None</v>
      </c>
      <c r="V51" s="117"/>
    </row>
    <row r="52" spans="1:22" ht="15">
      <c r="A52" s="93" t="s">
        <v>19</v>
      </c>
      <c r="B52" s="90"/>
      <c r="C52" s="117">
        <f t="shared" si="3"/>
        <v>1</v>
      </c>
      <c r="D52" s="117"/>
      <c r="E52" s="96"/>
      <c r="F52" s="117" t="str">
        <f t="shared" si="4"/>
        <v>None</v>
      </c>
      <c r="G52" s="117"/>
      <c r="H52" s="96"/>
      <c r="I52" s="117" t="str">
        <f t="shared" si="5"/>
        <v>None</v>
      </c>
      <c r="J52" s="117"/>
      <c r="K52" s="96"/>
      <c r="L52" s="117" t="str">
        <f t="shared" si="6"/>
        <v>None</v>
      </c>
      <c r="M52" s="117"/>
      <c r="N52" s="96"/>
      <c r="O52" s="117" t="str">
        <f t="shared" si="7"/>
        <v>None</v>
      </c>
      <c r="P52" s="117"/>
      <c r="Q52" s="96"/>
      <c r="R52" s="117" t="str">
        <f t="shared" si="8"/>
        <v>None</v>
      </c>
      <c r="S52" s="117"/>
      <c r="T52" s="90"/>
      <c r="U52" s="117" t="str">
        <f t="shared" si="9"/>
        <v>None</v>
      </c>
      <c r="V52" s="117"/>
    </row>
    <row r="54" spans="3:24" ht="12.75">
      <c r="C54" s="118">
        <f>SUM(C33:D52)</f>
        <v>5</v>
      </c>
      <c r="D54" s="118"/>
      <c r="E54" s="106"/>
      <c r="F54" s="118">
        <f>SUM(F33:G52)</f>
        <v>5</v>
      </c>
      <c r="G54" s="118"/>
      <c r="H54" s="106"/>
      <c r="I54" s="118">
        <f>SUM(I33:J52)</f>
        <v>5</v>
      </c>
      <c r="J54" s="118"/>
      <c r="K54" s="106"/>
      <c r="L54" s="118">
        <f>SUM(L33:M52)</f>
        <v>2</v>
      </c>
      <c r="M54" s="118"/>
      <c r="N54" s="106"/>
      <c r="O54" s="118">
        <f>SUM(O33:P52)</f>
        <v>0</v>
      </c>
      <c r="P54" s="118"/>
      <c r="Q54" s="106"/>
      <c r="R54" s="118">
        <f>SUM(R33:S52)</f>
        <v>1</v>
      </c>
      <c r="S54" s="118"/>
      <c r="T54" s="106"/>
      <c r="U54" s="118">
        <f>SUM(U33:V52)</f>
        <v>3</v>
      </c>
      <c r="V54" s="118"/>
      <c r="X54" s="107">
        <f>SUM(C54:V54)</f>
        <v>21</v>
      </c>
    </row>
  </sheetData>
  <sheetProtection/>
  <mergeCells count="161">
    <mergeCell ref="O52:P52"/>
    <mergeCell ref="L50:M50"/>
    <mergeCell ref="O49:P49"/>
    <mergeCell ref="O50:P50"/>
    <mergeCell ref="O51:P51"/>
    <mergeCell ref="C54:D54"/>
    <mergeCell ref="F54:G54"/>
    <mergeCell ref="I54:J54"/>
    <mergeCell ref="L54:M54"/>
    <mergeCell ref="O54:P54"/>
    <mergeCell ref="F52:G52"/>
    <mergeCell ref="I48:J48"/>
    <mergeCell ref="I49:J49"/>
    <mergeCell ref="I50:J50"/>
    <mergeCell ref="I51:J51"/>
    <mergeCell ref="R54:S54"/>
    <mergeCell ref="L48:M48"/>
    <mergeCell ref="R51:S51"/>
    <mergeCell ref="R52:S52"/>
    <mergeCell ref="F49:G49"/>
    <mergeCell ref="U54:V54"/>
    <mergeCell ref="I52:J52"/>
    <mergeCell ref="L51:M51"/>
    <mergeCell ref="L52:M52"/>
    <mergeCell ref="L49:M49"/>
    <mergeCell ref="I35:J35"/>
    <mergeCell ref="I36:J36"/>
    <mergeCell ref="I37:J37"/>
    <mergeCell ref="I38:J38"/>
    <mergeCell ref="I39:J39"/>
    <mergeCell ref="I42:J42"/>
    <mergeCell ref="I40:J40"/>
    <mergeCell ref="I41:J41"/>
    <mergeCell ref="L45:M45"/>
    <mergeCell ref="L46:M46"/>
    <mergeCell ref="L47:M47"/>
    <mergeCell ref="L44:M44"/>
    <mergeCell ref="I43:J43"/>
    <mergeCell ref="I44:J44"/>
    <mergeCell ref="I45:J45"/>
    <mergeCell ref="I46:J46"/>
    <mergeCell ref="I47:J47"/>
    <mergeCell ref="L35:M35"/>
    <mergeCell ref="L36:M36"/>
    <mergeCell ref="L37:M37"/>
    <mergeCell ref="L38:M38"/>
    <mergeCell ref="L39:M39"/>
    <mergeCell ref="L43:M43"/>
    <mergeCell ref="L40:M40"/>
    <mergeCell ref="L41:M41"/>
    <mergeCell ref="L42:M42"/>
    <mergeCell ref="O46:P46"/>
    <mergeCell ref="O47:P47"/>
    <mergeCell ref="O48:P48"/>
    <mergeCell ref="O43:P43"/>
    <mergeCell ref="O44:P44"/>
    <mergeCell ref="O45:P45"/>
    <mergeCell ref="O38:P38"/>
    <mergeCell ref="O39:P39"/>
    <mergeCell ref="O40:P40"/>
    <mergeCell ref="O41:P41"/>
    <mergeCell ref="O42:P42"/>
    <mergeCell ref="R45:S45"/>
    <mergeCell ref="R44:S44"/>
    <mergeCell ref="R46:S46"/>
    <mergeCell ref="R47:S47"/>
    <mergeCell ref="R48:S48"/>
    <mergeCell ref="R49:S49"/>
    <mergeCell ref="R50:S50"/>
    <mergeCell ref="R39:S39"/>
    <mergeCell ref="R40:S40"/>
    <mergeCell ref="R41:S41"/>
    <mergeCell ref="R42:S42"/>
    <mergeCell ref="R43:S43"/>
    <mergeCell ref="U48:V48"/>
    <mergeCell ref="U49:V49"/>
    <mergeCell ref="U50:V50"/>
    <mergeCell ref="U51:V51"/>
    <mergeCell ref="U52:V52"/>
    <mergeCell ref="R34:S34"/>
    <mergeCell ref="R35:S35"/>
    <mergeCell ref="R36:S36"/>
    <mergeCell ref="R37:S37"/>
    <mergeCell ref="R38:S38"/>
    <mergeCell ref="U42:V42"/>
    <mergeCell ref="U43:V43"/>
    <mergeCell ref="U44:V44"/>
    <mergeCell ref="U45:V45"/>
    <mergeCell ref="U46:V46"/>
    <mergeCell ref="U47:V47"/>
    <mergeCell ref="I33:J33"/>
    <mergeCell ref="L33:M33"/>
    <mergeCell ref="O33:P33"/>
    <mergeCell ref="R33:S33"/>
    <mergeCell ref="U33:V33"/>
    <mergeCell ref="U34:V34"/>
    <mergeCell ref="L34:M34"/>
    <mergeCell ref="I34:J34"/>
    <mergeCell ref="U35:V35"/>
    <mergeCell ref="U36:V36"/>
    <mergeCell ref="U37:V37"/>
    <mergeCell ref="F46:G46"/>
    <mergeCell ref="F47:G47"/>
    <mergeCell ref="F48:G48"/>
    <mergeCell ref="U38:V38"/>
    <mergeCell ref="U39:V39"/>
    <mergeCell ref="U40:V40"/>
    <mergeCell ref="U41:V41"/>
    <mergeCell ref="F50:G50"/>
    <mergeCell ref="F51:G51"/>
    <mergeCell ref="F40:G40"/>
    <mergeCell ref="F41:G41"/>
    <mergeCell ref="F42:G42"/>
    <mergeCell ref="F43:G43"/>
    <mergeCell ref="F44:G44"/>
    <mergeCell ref="F45:G45"/>
    <mergeCell ref="C50:D50"/>
    <mergeCell ref="C51:D51"/>
    <mergeCell ref="C52:D52"/>
    <mergeCell ref="F33:G33"/>
    <mergeCell ref="F34:G34"/>
    <mergeCell ref="F35:G35"/>
    <mergeCell ref="F36:G36"/>
    <mergeCell ref="F37:G37"/>
    <mergeCell ref="F38:G38"/>
    <mergeCell ref="F39:G39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U31:V31"/>
    <mergeCell ref="C33:D33"/>
    <mergeCell ref="C34:D34"/>
    <mergeCell ref="C35:D35"/>
    <mergeCell ref="C36:D36"/>
    <mergeCell ref="C37:D37"/>
    <mergeCell ref="O34:P34"/>
    <mergeCell ref="O35:P35"/>
    <mergeCell ref="O36:P36"/>
    <mergeCell ref="O37:P37"/>
    <mergeCell ref="C31:D31"/>
    <mergeCell ref="F31:G31"/>
    <mergeCell ref="I31:J31"/>
    <mergeCell ref="L31:M31"/>
    <mergeCell ref="O31:P31"/>
    <mergeCell ref="R31:S31"/>
    <mergeCell ref="O3:P3"/>
    <mergeCell ref="R3:S3"/>
    <mergeCell ref="U3:V3"/>
    <mergeCell ref="C3:D3"/>
    <mergeCell ref="F3:G3"/>
    <mergeCell ref="I3:J3"/>
    <mergeCell ref="L3:M3"/>
  </mergeCells>
  <printOptions/>
  <pageMargins left="0.25" right="0.2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535</v>
      </c>
      <c r="C5" s="2" t="s">
        <v>38</v>
      </c>
      <c r="D5" s="2" t="s">
        <v>84</v>
      </c>
      <c r="E5" s="7" t="s">
        <v>515</v>
      </c>
      <c r="F5" s="8">
        <v>3.75</v>
      </c>
      <c r="G5" s="9">
        <v>2020</v>
      </c>
      <c r="I5" s="10">
        <f aca="true" t="shared" si="0" ref="I5:M14">+IF($G5&gt;=I$3,$F5,0)</f>
        <v>3.75</v>
      </c>
      <c r="J5" s="10">
        <f t="shared" si="0"/>
        <v>3.75</v>
      </c>
      <c r="K5" s="10">
        <f t="shared" si="0"/>
        <v>3.75</v>
      </c>
      <c r="L5" s="10">
        <f t="shared" si="0"/>
        <v>3.75</v>
      </c>
      <c r="M5" s="10">
        <f t="shared" si="0"/>
        <v>3.75</v>
      </c>
    </row>
    <row r="6" spans="1:13" ht="12.75">
      <c r="A6" s="6">
        <v>2</v>
      </c>
      <c r="B6" s="31" t="s">
        <v>536</v>
      </c>
      <c r="C6" s="30" t="s">
        <v>41</v>
      </c>
      <c r="D6" s="30" t="s">
        <v>531</v>
      </c>
      <c r="E6" s="7" t="s">
        <v>515</v>
      </c>
      <c r="F6" s="8">
        <v>3</v>
      </c>
      <c r="G6" s="9">
        <v>2020</v>
      </c>
      <c r="I6" s="10">
        <f t="shared" si="0"/>
        <v>3</v>
      </c>
      <c r="J6" s="10">
        <f t="shared" si="0"/>
        <v>3</v>
      </c>
      <c r="K6" s="10">
        <f t="shared" si="0"/>
        <v>3</v>
      </c>
      <c r="L6" s="10">
        <f t="shared" si="0"/>
        <v>3</v>
      </c>
      <c r="M6" s="10">
        <f t="shared" si="0"/>
        <v>3</v>
      </c>
    </row>
    <row r="7" spans="1:13" ht="12.75">
      <c r="A7" s="6">
        <v>3</v>
      </c>
      <c r="B7" s="1" t="s">
        <v>568</v>
      </c>
      <c r="C7" s="2" t="s">
        <v>44</v>
      </c>
      <c r="D7" s="2" t="s">
        <v>79</v>
      </c>
      <c r="E7" s="7" t="s">
        <v>557</v>
      </c>
      <c r="F7" s="8">
        <v>13.95</v>
      </c>
      <c r="G7" s="9">
        <v>2019</v>
      </c>
      <c r="I7" s="10">
        <f t="shared" si="0"/>
        <v>13.95</v>
      </c>
      <c r="J7" s="10">
        <f t="shared" si="0"/>
        <v>13.95</v>
      </c>
      <c r="K7" s="10">
        <f t="shared" si="0"/>
        <v>13.95</v>
      </c>
      <c r="L7" s="10">
        <f t="shared" si="0"/>
        <v>13.95</v>
      </c>
      <c r="M7" s="10">
        <f t="shared" si="0"/>
        <v>0</v>
      </c>
    </row>
    <row r="8" spans="1:13" ht="12.75">
      <c r="A8" s="6">
        <v>4</v>
      </c>
      <c r="B8" s="31" t="s">
        <v>423</v>
      </c>
      <c r="C8" s="30" t="s">
        <v>43</v>
      </c>
      <c r="D8" s="30" t="s">
        <v>62</v>
      </c>
      <c r="E8" s="32" t="s">
        <v>386</v>
      </c>
      <c r="F8" s="8">
        <v>2.9</v>
      </c>
      <c r="G8" s="9">
        <v>2019</v>
      </c>
      <c r="I8" s="10">
        <f t="shared" si="0"/>
        <v>2.9</v>
      </c>
      <c r="J8" s="10">
        <f t="shared" si="0"/>
        <v>2.9</v>
      </c>
      <c r="K8" s="10">
        <f t="shared" si="0"/>
        <v>2.9</v>
      </c>
      <c r="L8" s="10">
        <f t="shared" si="0"/>
        <v>2.9</v>
      </c>
      <c r="M8" s="10">
        <f t="shared" si="0"/>
        <v>0</v>
      </c>
    </row>
    <row r="9" spans="1:13" ht="12.75">
      <c r="A9" s="6">
        <v>5</v>
      </c>
      <c r="B9" s="21" t="s">
        <v>631</v>
      </c>
      <c r="C9" s="23" t="s">
        <v>41</v>
      </c>
      <c r="D9" s="23" t="s">
        <v>69</v>
      </c>
      <c r="E9" s="7" t="s">
        <v>557</v>
      </c>
      <c r="F9" s="25">
        <v>21.25</v>
      </c>
      <c r="G9" s="27">
        <v>2018</v>
      </c>
      <c r="I9" s="10">
        <f t="shared" si="0"/>
        <v>21.25</v>
      </c>
      <c r="J9" s="10">
        <f t="shared" si="0"/>
        <v>21.25</v>
      </c>
      <c r="K9" s="10">
        <f t="shared" si="0"/>
        <v>21.25</v>
      </c>
      <c r="L9" s="10">
        <f t="shared" si="0"/>
        <v>0</v>
      </c>
      <c r="M9" s="10">
        <f t="shared" si="0"/>
        <v>0</v>
      </c>
    </row>
    <row r="10" spans="1:13" ht="12.75">
      <c r="A10" s="6">
        <v>6</v>
      </c>
      <c r="B10" s="31" t="s">
        <v>283</v>
      </c>
      <c r="C10" s="2" t="s">
        <v>40</v>
      </c>
      <c r="D10" s="2" t="s">
        <v>63</v>
      </c>
      <c r="E10" s="7" t="s">
        <v>371</v>
      </c>
      <c r="F10" s="8">
        <v>17.85</v>
      </c>
      <c r="G10" s="9">
        <v>2018</v>
      </c>
      <c r="I10" s="10">
        <f t="shared" si="0"/>
        <v>17.85</v>
      </c>
      <c r="J10" s="10">
        <f t="shared" si="0"/>
        <v>17.85</v>
      </c>
      <c r="K10" s="10">
        <f t="shared" si="0"/>
        <v>17.85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1" t="s">
        <v>442</v>
      </c>
      <c r="C11" s="2" t="s">
        <v>43</v>
      </c>
      <c r="D11" s="2" t="s">
        <v>68</v>
      </c>
      <c r="E11" s="7" t="s">
        <v>427</v>
      </c>
      <c r="F11" s="8">
        <v>7.25</v>
      </c>
      <c r="G11" s="9">
        <v>2018</v>
      </c>
      <c r="I11" s="10">
        <f t="shared" si="0"/>
        <v>7.25</v>
      </c>
      <c r="J11" s="10">
        <f t="shared" si="0"/>
        <v>7.25</v>
      </c>
      <c r="K11" s="10">
        <f t="shared" si="0"/>
        <v>7.25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177</v>
      </c>
      <c r="C12" s="2" t="s">
        <v>42</v>
      </c>
      <c r="D12" s="2" t="s">
        <v>63</v>
      </c>
      <c r="E12" s="7" t="s">
        <v>557</v>
      </c>
      <c r="F12" s="12">
        <v>3.75</v>
      </c>
      <c r="G12" s="13">
        <v>2018</v>
      </c>
      <c r="I12" s="10">
        <f t="shared" si="0"/>
        <v>3.75</v>
      </c>
      <c r="J12" s="10">
        <f t="shared" si="0"/>
        <v>3.75</v>
      </c>
      <c r="K12" s="10">
        <f t="shared" si="0"/>
        <v>3.75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300</v>
      </c>
      <c r="C13" s="2" t="s">
        <v>43</v>
      </c>
      <c r="D13" s="2" t="s">
        <v>82</v>
      </c>
      <c r="E13" s="2" t="s">
        <v>371</v>
      </c>
      <c r="F13" s="12">
        <v>2.75</v>
      </c>
      <c r="G13" s="13">
        <v>2018</v>
      </c>
      <c r="I13" s="10">
        <f t="shared" si="0"/>
        <v>2.75</v>
      </c>
      <c r="J13" s="10">
        <f t="shared" si="0"/>
        <v>2.75</v>
      </c>
      <c r="K13" s="10">
        <f t="shared" si="0"/>
        <v>2.75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94</v>
      </c>
      <c r="C14" s="2" t="s">
        <v>40</v>
      </c>
      <c r="D14" s="2" t="s">
        <v>60</v>
      </c>
      <c r="E14" s="7" t="s">
        <v>56</v>
      </c>
      <c r="F14" s="8">
        <v>28.8</v>
      </c>
      <c r="G14" s="9">
        <v>2017</v>
      </c>
      <c r="I14" s="10">
        <f t="shared" si="0"/>
        <v>28.8</v>
      </c>
      <c r="J14" s="10">
        <f t="shared" si="0"/>
        <v>28.8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566</v>
      </c>
      <c r="C15" s="2" t="s">
        <v>43</v>
      </c>
      <c r="D15" s="2" t="s">
        <v>61</v>
      </c>
      <c r="E15" s="7" t="s">
        <v>557</v>
      </c>
      <c r="F15" s="8">
        <v>13</v>
      </c>
      <c r="G15" s="9">
        <v>2017</v>
      </c>
      <c r="I15" s="10">
        <f aca="true" t="shared" si="1" ref="I15:M29">+IF($G15&gt;=I$3,$F15,0)</f>
        <v>13</v>
      </c>
      <c r="J15" s="10">
        <f t="shared" si="1"/>
        <v>13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588</v>
      </c>
      <c r="C16" s="30" t="s">
        <v>44</v>
      </c>
      <c r="D16" s="35" t="s">
        <v>77</v>
      </c>
      <c r="E16" s="32" t="s">
        <v>557</v>
      </c>
      <c r="F16" s="8">
        <v>7.25</v>
      </c>
      <c r="G16" s="9">
        <v>2017</v>
      </c>
      <c r="I16" s="10">
        <f t="shared" si="1"/>
        <v>7.25</v>
      </c>
      <c r="J16" s="10">
        <f t="shared" si="1"/>
        <v>7.25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426</v>
      </c>
      <c r="C17" s="2" t="s">
        <v>44</v>
      </c>
      <c r="D17" s="28" t="s">
        <v>71</v>
      </c>
      <c r="E17" s="7" t="s">
        <v>427</v>
      </c>
      <c r="F17" s="8">
        <v>6.65</v>
      </c>
      <c r="G17" s="9">
        <v>2017</v>
      </c>
      <c r="I17" s="10">
        <f t="shared" si="1"/>
        <v>6.65</v>
      </c>
      <c r="J17" s="10">
        <f t="shared" si="1"/>
        <v>6.65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204</v>
      </c>
      <c r="C18" s="2" t="s">
        <v>39</v>
      </c>
      <c r="D18" s="2" t="s">
        <v>62</v>
      </c>
      <c r="E18" s="7" t="s">
        <v>373</v>
      </c>
      <c r="F18" s="8">
        <v>2.55</v>
      </c>
      <c r="G18" s="9">
        <v>2017</v>
      </c>
      <c r="I18" s="10">
        <f t="shared" si="1"/>
        <v>2.55</v>
      </c>
      <c r="J18" s="10">
        <f t="shared" si="1"/>
        <v>2.55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140</v>
      </c>
      <c r="C19" s="30" t="s">
        <v>40</v>
      </c>
      <c r="D19" s="30" t="s">
        <v>78</v>
      </c>
      <c r="E19" s="32" t="s">
        <v>56</v>
      </c>
      <c r="F19" s="12">
        <v>54.25</v>
      </c>
      <c r="G19" s="13">
        <v>2016</v>
      </c>
      <c r="I19" s="10">
        <f t="shared" si="1"/>
        <v>54.25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238</v>
      </c>
      <c r="C20" s="30" t="s">
        <v>39</v>
      </c>
      <c r="D20" s="30" t="s">
        <v>79</v>
      </c>
      <c r="E20" s="7" t="s">
        <v>56</v>
      </c>
      <c r="F20" s="8">
        <v>19</v>
      </c>
      <c r="G20" s="9">
        <v>2016</v>
      </c>
      <c r="I20" s="10">
        <f t="shared" si="1"/>
        <v>19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109</v>
      </c>
      <c r="C21" s="30" t="s">
        <v>38</v>
      </c>
      <c r="D21" s="30" t="s">
        <v>61</v>
      </c>
      <c r="E21" s="32" t="s">
        <v>374</v>
      </c>
      <c r="F21" s="8">
        <v>17.55</v>
      </c>
      <c r="G21" s="9">
        <v>2016</v>
      </c>
      <c r="I21" s="10">
        <f t="shared" si="1"/>
        <v>17.55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584</v>
      </c>
      <c r="C22" s="2" t="s">
        <v>43</v>
      </c>
      <c r="D22" s="2" t="s">
        <v>71</v>
      </c>
      <c r="E22" s="7" t="s">
        <v>557</v>
      </c>
      <c r="F22" s="12">
        <v>13</v>
      </c>
      <c r="G22" s="13">
        <v>2016</v>
      </c>
      <c r="I22" s="10">
        <f t="shared" si="1"/>
        <v>13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104</v>
      </c>
      <c r="C23" s="2" t="s">
        <v>42</v>
      </c>
      <c r="D23" s="2" t="s">
        <v>89</v>
      </c>
      <c r="E23" s="7" t="s">
        <v>427</v>
      </c>
      <c r="F23" s="8">
        <v>7.25</v>
      </c>
      <c r="G23" s="11">
        <v>2016</v>
      </c>
      <c r="I23" s="10">
        <f t="shared" si="1"/>
        <v>7.25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21" t="s">
        <v>744</v>
      </c>
      <c r="C24" s="2" t="s">
        <v>43</v>
      </c>
      <c r="D24" s="2" t="s">
        <v>85</v>
      </c>
      <c r="E24" s="7" t="s">
        <v>691</v>
      </c>
      <c r="F24" s="8">
        <v>3</v>
      </c>
      <c r="G24" s="9">
        <v>2016</v>
      </c>
      <c r="I24" s="10">
        <f t="shared" si="1"/>
        <v>3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457</v>
      </c>
      <c r="C25" s="2" t="s">
        <v>39</v>
      </c>
      <c r="D25" s="2" t="s">
        <v>80</v>
      </c>
      <c r="E25" s="7" t="s">
        <v>691</v>
      </c>
      <c r="F25" s="8">
        <v>3</v>
      </c>
      <c r="G25" s="9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747</v>
      </c>
      <c r="C26" s="2" t="s">
        <v>40</v>
      </c>
      <c r="D26" s="2" t="s">
        <v>78</v>
      </c>
      <c r="E26" s="7" t="s">
        <v>691</v>
      </c>
      <c r="F26" s="8">
        <v>3</v>
      </c>
      <c r="G26" s="11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745</v>
      </c>
      <c r="C27" s="30" t="s">
        <v>43</v>
      </c>
      <c r="D27" s="30" t="s">
        <v>89</v>
      </c>
      <c r="E27" s="32" t="s">
        <v>691</v>
      </c>
      <c r="F27" s="8">
        <v>3</v>
      </c>
      <c r="G27" s="9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746</v>
      </c>
      <c r="C28" s="30" t="s">
        <v>38</v>
      </c>
      <c r="D28" s="30" t="s">
        <v>61</v>
      </c>
      <c r="E28" s="7" t="s">
        <v>691</v>
      </c>
      <c r="F28" s="8">
        <v>3</v>
      </c>
      <c r="G28" s="9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136</v>
      </c>
      <c r="C29" s="30" t="s">
        <v>41</v>
      </c>
      <c r="D29" s="30" t="s">
        <v>61</v>
      </c>
      <c r="E29" s="32" t="s">
        <v>374</v>
      </c>
      <c r="F29" s="8">
        <v>2.35</v>
      </c>
      <c r="G29" s="9">
        <v>2016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1"/>
      <c r="C31" s="30"/>
      <c r="D31" s="35"/>
      <c r="E31" s="32"/>
      <c r="F31" s="8"/>
      <c r="G31" s="9"/>
      <c r="I31" s="15">
        <f>+SUM(I5:I29)</f>
        <v>263.1</v>
      </c>
      <c r="J31" s="15">
        <f>+SUM(J5:J29)</f>
        <v>134.7</v>
      </c>
      <c r="K31" s="15">
        <f>+SUM(K5:K29)</f>
        <v>76.44999999999999</v>
      </c>
      <c r="L31" s="15">
        <f>+SUM(L5:L29)</f>
        <v>23.599999999999998</v>
      </c>
      <c r="M31" s="15">
        <f>+SUM(M5:M29)</f>
        <v>6.75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21" t="s">
        <v>412</v>
      </c>
      <c r="C37" s="2" t="s">
        <v>39</v>
      </c>
      <c r="D37" s="2" t="s">
        <v>61</v>
      </c>
      <c r="E37" s="7">
        <v>2016</v>
      </c>
      <c r="F37" s="8">
        <v>2.9</v>
      </c>
      <c r="G37" s="9">
        <v>2019</v>
      </c>
      <c r="I37" s="10">
        <f aca="true" t="shared" si="2" ref="I37:I46">+CEILING(IF($I$35=E37,F37,IF($I$35&lt;=G37,F37*0.3,0)),0.05)</f>
        <v>2.9000000000000004</v>
      </c>
      <c r="J37" s="10">
        <f aca="true" t="shared" si="3" ref="J37:J46">+CEILING(IF($J$35&lt;=G37,F37*0.3,0),0.05)</f>
        <v>0.9</v>
      </c>
      <c r="K37" s="10">
        <f aca="true" t="shared" si="4" ref="K37:K46">+CEILING(IF($K$35&lt;=G37,F37*0.3,0),0.05)</f>
        <v>0.9</v>
      </c>
      <c r="L37" s="10">
        <f aca="true" t="shared" si="5" ref="L37:L46">+CEILING(IF($L$35&lt;=G37,F37*0.3,0),0.05)</f>
        <v>0.9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31" t="s">
        <v>632</v>
      </c>
      <c r="C38" s="30" t="s">
        <v>39</v>
      </c>
      <c r="D38" s="30" t="s">
        <v>68</v>
      </c>
      <c r="E38" s="32">
        <v>2016</v>
      </c>
      <c r="F38" s="8">
        <v>7.25</v>
      </c>
      <c r="G38" s="9">
        <v>2018</v>
      </c>
      <c r="I38" s="10">
        <f t="shared" si="2"/>
        <v>7.25</v>
      </c>
      <c r="J38" s="10">
        <f t="shared" si="3"/>
        <v>2.2</v>
      </c>
      <c r="K38" s="10">
        <f t="shared" si="4"/>
        <v>2.2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490</v>
      </c>
      <c r="C39" s="2" t="s">
        <v>39</v>
      </c>
      <c r="D39" s="2" t="s">
        <v>82</v>
      </c>
      <c r="E39" s="7">
        <v>2016</v>
      </c>
      <c r="F39" s="8">
        <v>48.8</v>
      </c>
      <c r="G39" s="9">
        <v>2017</v>
      </c>
      <c r="I39" s="10">
        <f t="shared" si="2"/>
        <v>48.800000000000004</v>
      </c>
      <c r="J39" s="10">
        <f t="shared" si="3"/>
        <v>14.65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231</v>
      </c>
      <c r="C40" s="2" t="s">
        <v>39</v>
      </c>
      <c r="D40" s="2" t="s">
        <v>62</v>
      </c>
      <c r="E40" s="7">
        <v>2015</v>
      </c>
      <c r="F40" s="8">
        <v>45.25</v>
      </c>
      <c r="G40" s="9">
        <v>2017</v>
      </c>
      <c r="I40" s="10">
        <f t="shared" si="2"/>
        <v>13.600000000000001</v>
      </c>
      <c r="J40" s="10">
        <f t="shared" si="3"/>
        <v>13.600000000000001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267</v>
      </c>
      <c r="C41" s="2" t="s">
        <v>43</v>
      </c>
      <c r="D41" s="2" t="s">
        <v>88</v>
      </c>
      <c r="E41" s="7">
        <v>2015</v>
      </c>
      <c r="F41" s="8">
        <v>3.7</v>
      </c>
      <c r="G41" s="9">
        <v>2017</v>
      </c>
      <c r="I41" s="10">
        <f t="shared" si="2"/>
        <v>1.1500000000000001</v>
      </c>
      <c r="J41" s="10">
        <f t="shared" si="3"/>
        <v>1.1500000000000001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304</v>
      </c>
      <c r="C42" s="2" t="s">
        <v>41</v>
      </c>
      <c r="D42" s="2" t="s">
        <v>64</v>
      </c>
      <c r="E42" s="7">
        <v>2015</v>
      </c>
      <c r="F42" s="8">
        <v>2.75</v>
      </c>
      <c r="G42" s="9">
        <v>2017</v>
      </c>
      <c r="I42" s="10">
        <f t="shared" si="2"/>
        <v>0.8500000000000001</v>
      </c>
      <c r="J42" s="10">
        <f t="shared" si="3"/>
        <v>0.8500000000000001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273</v>
      </c>
      <c r="C43" s="2" t="s">
        <v>44</v>
      </c>
      <c r="D43" s="2" t="s">
        <v>64</v>
      </c>
      <c r="E43" s="7">
        <v>2015</v>
      </c>
      <c r="F43" s="12">
        <v>2.55</v>
      </c>
      <c r="G43" s="13">
        <v>2017</v>
      </c>
      <c r="I43" s="10">
        <f t="shared" si="2"/>
        <v>0.8</v>
      </c>
      <c r="J43" s="10">
        <f t="shared" si="3"/>
        <v>0.8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207</v>
      </c>
      <c r="C44" s="2" t="s">
        <v>39</v>
      </c>
      <c r="D44" s="2" t="s">
        <v>66</v>
      </c>
      <c r="E44" s="7">
        <v>2016</v>
      </c>
      <c r="F44" s="8">
        <v>2.55</v>
      </c>
      <c r="G44" s="11">
        <v>2017</v>
      </c>
      <c r="I44" s="10">
        <f t="shared" si="2"/>
        <v>2.5500000000000003</v>
      </c>
      <c r="J44" s="10">
        <f t="shared" si="3"/>
        <v>0.8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447</v>
      </c>
      <c r="C45" s="30" t="s">
        <v>39</v>
      </c>
      <c r="D45" s="30" t="s">
        <v>86</v>
      </c>
      <c r="E45" s="7">
        <v>2015</v>
      </c>
      <c r="F45" s="8">
        <v>13.25</v>
      </c>
      <c r="G45" s="9">
        <v>2016</v>
      </c>
      <c r="I45" s="10">
        <f t="shared" si="2"/>
        <v>4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187</v>
      </c>
      <c r="C46" s="2" t="s">
        <v>39</v>
      </c>
      <c r="D46" s="2" t="s">
        <v>58</v>
      </c>
      <c r="E46" s="7">
        <v>2012</v>
      </c>
      <c r="F46" s="8">
        <v>4.25</v>
      </c>
      <c r="G46" s="9">
        <v>2016</v>
      </c>
      <c r="I46" s="10">
        <f t="shared" si="2"/>
        <v>1.3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21" t="s">
        <v>719</v>
      </c>
      <c r="C47" s="2" t="s">
        <v>43</v>
      </c>
      <c r="D47" s="2" t="s">
        <v>64</v>
      </c>
      <c r="E47" s="7">
        <v>2016</v>
      </c>
      <c r="F47" s="8">
        <v>3</v>
      </c>
      <c r="G47" s="9">
        <v>2016</v>
      </c>
      <c r="I47" s="10">
        <f aca="true" t="shared" si="7" ref="I47:I69">+CEILING(IF($I$35=E47,F47,IF($I$35&lt;=G47,F47*0.3,0)),0.05)</f>
        <v>3</v>
      </c>
      <c r="J47" s="10">
        <f aca="true" t="shared" si="8" ref="J47:J69">+CEILING(IF($J$35&lt;=G47,F47*0.3,0),0.05)</f>
        <v>0</v>
      </c>
      <c r="K47" s="10">
        <f aca="true" t="shared" si="9" ref="K47:K69">+CEILING(IF($K$35&lt;=G47,F47*0.3,0),0.05)</f>
        <v>0</v>
      </c>
      <c r="L47" s="10">
        <f aca="true" t="shared" si="10" ref="L47:L69">+CEILING(IF($L$35&lt;=G47,F47*0.3,0),0.05)</f>
        <v>0</v>
      </c>
      <c r="M47" s="10">
        <f aca="true" t="shared" si="11" ref="M47:M69">CEILING(IF($M$35&lt;=G47,F47*0.3,0),0.05)</f>
        <v>0</v>
      </c>
    </row>
    <row r="48" spans="1:13" ht="12.75">
      <c r="A48" s="6">
        <v>12</v>
      </c>
      <c r="B48" s="31" t="s">
        <v>743</v>
      </c>
      <c r="C48" s="30" t="s">
        <v>40</v>
      </c>
      <c r="D48" s="30" t="s">
        <v>702</v>
      </c>
      <c r="E48" s="32">
        <v>2016</v>
      </c>
      <c r="F48" s="8">
        <v>3</v>
      </c>
      <c r="G48" s="9">
        <v>2016</v>
      </c>
      <c r="I48" s="10">
        <f t="shared" si="7"/>
        <v>3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31" t="s">
        <v>692</v>
      </c>
      <c r="C49" s="30" t="s">
        <v>40</v>
      </c>
      <c r="D49" s="30" t="s">
        <v>62</v>
      </c>
      <c r="E49" s="7">
        <v>2016</v>
      </c>
      <c r="F49" s="8">
        <v>3</v>
      </c>
      <c r="G49" s="9">
        <v>2016</v>
      </c>
      <c r="I49" s="10">
        <f t="shared" si="7"/>
        <v>3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31" t="s">
        <v>698</v>
      </c>
      <c r="C50" s="2" t="s">
        <v>40</v>
      </c>
      <c r="D50" s="2" t="s">
        <v>78</v>
      </c>
      <c r="E50" s="7">
        <v>2016</v>
      </c>
      <c r="F50" s="8">
        <v>3</v>
      </c>
      <c r="G50" s="11">
        <v>2016</v>
      </c>
      <c r="I50" s="10">
        <f t="shared" si="7"/>
        <v>3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B51" s="31" t="s">
        <v>137</v>
      </c>
      <c r="C51" s="30" t="s">
        <v>39</v>
      </c>
      <c r="D51" s="30" t="s">
        <v>60</v>
      </c>
      <c r="E51" s="32">
        <v>2015</v>
      </c>
      <c r="F51" s="8">
        <v>2.35</v>
      </c>
      <c r="G51" s="9">
        <v>2016</v>
      </c>
      <c r="I51" s="10">
        <f t="shared" si="7"/>
        <v>0.75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31" t="s">
        <v>159</v>
      </c>
      <c r="C52" s="30" t="s">
        <v>40</v>
      </c>
      <c r="D52" s="35" t="s">
        <v>62</v>
      </c>
      <c r="E52" s="32">
        <v>2015</v>
      </c>
      <c r="F52" s="8">
        <v>2.35</v>
      </c>
      <c r="G52" s="9">
        <v>2016</v>
      </c>
      <c r="I52" s="10">
        <f t="shared" si="7"/>
        <v>0.75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B53" s="31"/>
      <c r="D53" s="2"/>
      <c r="E53" s="7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B54" s="31"/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1"/>
      <c r="C55" s="30"/>
      <c r="D55" s="30"/>
      <c r="E55" s="7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.75">
      <c r="A56" s="6">
        <v>20</v>
      </c>
      <c r="B56" s="31"/>
      <c r="D56" s="2"/>
      <c r="E56" s="7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B57" s="31"/>
      <c r="D57" s="2"/>
      <c r="E57" s="7"/>
      <c r="F57" s="12"/>
      <c r="G57" s="13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.75">
      <c r="A58" s="6">
        <v>22</v>
      </c>
      <c r="B58" s="31"/>
      <c r="C58" s="30"/>
      <c r="D58" s="30"/>
      <c r="E58" s="32"/>
      <c r="F58" s="8"/>
      <c r="G58" s="9"/>
      <c r="I58" s="10">
        <f t="shared" si="7"/>
        <v>0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.75">
      <c r="A59" s="6">
        <v>23</v>
      </c>
      <c r="D59" s="2"/>
      <c r="E59" s="7"/>
      <c r="F59" s="8"/>
      <c r="G59" s="9"/>
      <c r="I59" s="10">
        <f t="shared" si="7"/>
        <v>0</v>
      </c>
      <c r="J59" s="10">
        <f t="shared" si="8"/>
        <v>0</v>
      </c>
      <c r="K59" s="10">
        <f t="shared" si="9"/>
        <v>0</v>
      </c>
      <c r="L59" s="10">
        <f t="shared" si="10"/>
        <v>0</v>
      </c>
      <c r="M59" s="10">
        <f t="shared" si="11"/>
        <v>0</v>
      </c>
    </row>
    <row r="60" spans="1:13" ht="12.75">
      <c r="A60" s="6">
        <v>24</v>
      </c>
      <c r="D60" s="2"/>
      <c r="E60" s="7"/>
      <c r="F60" s="8"/>
      <c r="G60" s="9"/>
      <c r="I60" s="10">
        <f t="shared" si="7"/>
        <v>0</v>
      </c>
      <c r="J60" s="10">
        <f t="shared" si="8"/>
        <v>0</v>
      </c>
      <c r="K60" s="10">
        <f t="shared" si="9"/>
        <v>0</v>
      </c>
      <c r="L60" s="10">
        <f t="shared" si="10"/>
        <v>0</v>
      </c>
      <c r="M60" s="10">
        <f t="shared" si="11"/>
        <v>0</v>
      </c>
    </row>
    <row r="61" spans="1:13" ht="12.75">
      <c r="A61" s="6">
        <v>25</v>
      </c>
      <c r="B61" s="31"/>
      <c r="D61" s="2"/>
      <c r="E61" s="7"/>
      <c r="F61" s="8"/>
      <c r="G61" s="9"/>
      <c r="I61" s="10">
        <f t="shared" si="7"/>
        <v>0</v>
      </c>
      <c r="J61" s="10">
        <f t="shared" si="8"/>
        <v>0</v>
      </c>
      <c r="K61" s="10">
        <f t="shared" si="9"/>
        <v>0</v>
      </c>
      <c r="L61" s="10">
        <f t="shared" si="10"/>
        <v>0</v>
      </c>
      <c r="M61" s="10">
        <f t="shared" si="11"/>
        <v>0</v>
      </c>
    </row>
    <row r="62" spans="1:13" ht="12.75">
      <c r="A62" s="6">
        <v>26</v>
      </c>
      <c r="B62" s="31"/>
      <c r="D62" s="2"/>
      <c r="E62" s="7"/>
      <c r="F62" s="8"/>
      <c r="G62" s="9"/>
      <c r="I62" s="10">
        <f t="shared" si="7"/>
        <v>0</v>
      </c>
      <c r="J62" s="10">
        <f t="shared" si="8"/>
        <v>0</v>
      </c>
      <c r="K62" s="10">
        <f t="shared" si="9"/>
        <v>0</v>
      </c>
      <c r="L62" s="10">
        <f t="shared" si="10"/>
        <v>0</v>
      </c>
      <c r="M62" s="10">
        <f t="shared" si="11"/>
        <v>0</v>
      </c>
    </row>
    <row r="63" spans="1:13" ht="12.75">
      <c r="A63" s="6">
        <v>27</v>
      </c>
      <c r="D63" s="2"/>
      <c r="E63" s="7"/>
      <c r="F63" s="8"/>
      <c r="G63" s="9"/>
      <c r="I63" s="10">
        <f t="shared" si="7"/>
        <v>0</v>
      </c>
      <c r="J63" s="10">
        <f t="shared" si="8"/>
        <v>0</v>
      </c>
      <c r="K63" s="10">
        <f t="shared" si="9"/>
        <v>0</v>
      </c>
      <c r="L63" s="10">
        <f t="shared" si="10"/>
        <v>0</v>
      </c>
      <c r="M63" s="10">
        <f t="shared" si="11"/>
        <v>0</v>
      </c>
    </row>
    <row r="64" spans="1:13" ht="12.75">
      <c r="A64" s="6">
        <v>28</v>
      </c>
      <c r="D64" s="2"/>
      <c r="E64" s="7"/>
      <c r="F64" s="8"/>
      <c r="G64" s="9"/>
      <c r="I64" s="10">
        <f t="shared" si="7"/>
        <v>0</v>
      </c>
      <c r="J64" s="10">
        <f t="shared" si="8"/>
        <v>0</v>
      </c>
      <c r="K64" s="10">
        <f t="shared" si="9"/>
        <v>0</v>
      </c>
      <c r="L64" s="10">
        <f t="shared" si="10"/>
        <v>0</v>
      </c>
      <c r="M64" s="10">
        <f t="shared" si="11"/>
        <v>0</v>
      </c>
    </row>
    <row r="65" spans="1:13" ht="12.75">
      <c r="A65" s="6">
        <v>29</v>
      </c>
      <c r="B65" s="31"/>
      <c r="D65" s="2"/>
      <c r="E65" s="7"/>
      <c r="F65" s="8"/>
      <c r="G65" s="9"/>
      <c r="I65" s="10">
        <f t="shared" si="7"/>
        <v>0</v>
      </c>
      <c r="J65" s="10">
        <f t="shared" si="8"/>
        <v>0</v>
      </c>
      <c r="K65" s="10">
        <f t="shared" si="9"/>
        <v>0</v>
      </c>
      <c r="L65" s="10">
        <f t="shared" si="10"/>
        <v>0</v>
      </c>
      <c r="M65" s="10">
        <f t="shared" si="11"/>
        <v>0</v>
      </c>
    </row>
    <row r="66" spans="1:13" ht="12.75">
      <c r="A66" s="6">
        <v>30</v>
      </c>
      <c r="D66" s="2"/>
      <c r="E66" s="7"/>
      <c r="F66" s="8"/>
      <c r="G66" s="9"/>
      <c r="I66" s="10">
        <f t="shared" si="7"/>
        <v>0</v>
      </c>
      <c r="J66" s="10">
        <f t="shared" si="8"/>
        <v>0</v>
      </c>
      <c r="K66" s="10">
        <f t="shared" si="9"/>
        <v>0</v>
      </c>
      <c r="L66" s="10">
        <f t="shared" si="10"/>
        <v>0</v>
      </c>
      <c r="M66" s="10">
        <f t="shared" si="11"/>
        <v>0</v>
      </c>
    </row>
    <row r="67" spans="1:13" ht="12.75">
      <c r="A67" s="6">
        <v>31</v>
      </c>
      <c r="B67" s="31"/>
      <c r="D67" s="28"/>
      <c r="E67" s="7"/>
      <c r="F67" s="8"/>
      <c r="G67" s="9"/>
      <c r="I67" s="10">
        <f t="shared" si="7"/>
        <v>0</v>
      </c>
      <c r="J67" s="10">
        <f t="shared" si="8"/>
        <v>0</v>
      </c>
      <c r="K67" s="10">
        <f t="shared" si="9"/>
        <v>0</v>
      </c>
      <c r="L67" s="10">
        <f t="shared" si="10"/>
        <v>0</v>
      </c>
      <c r="M67" s="10">
        <f t="shared" si="11"/>
        <v>0</v>
      </c>
    </row>
    <row r="68" spans="1:13" ht="12.75">
      <c r="A68" s="6">
        <v>32</v>
      </c>
      <c r="B68" s="31"/>
      <c r="D68" s="2"/>
      <c r="E68" s="7"/>
      <c r="F68" s="8"/>
      <c r="G68" s="9"/>
      <c r="I68" s="10">
        <f t="shared" si="7"/>
        <v>0</v>
      </c>
      <c r="J68" s="10">
        <f t="shared" si="8"/>
        <v>0</v>
      </c>
      <c r="K68" s="10">
        <f t="shared" si="9"/>
        <v>0</v>
      </c>
      <c r="L68" s="10">
        <f t="shared" si="10"/>
        <v>0</v>
      </c>
      <c r="M68" s="10">
        <f t="shared" si="11"/>
        <v>0</v>
      </c>
    </row>
    <row r="69" spans="1:13" ht="12.75">
      <c r="A69" s="6">
        <v>33</v>
      </c>
      <c r="B69" s="31"/>
      <c r="D69" s="2"/>
      <c r="E69" s="7"/>
      <c r="F69" s="8"/>
      <c r="G69" s="9"/>
      <c r="I69" s="10">
        <f t="shared" si="7"/>
        <v>0</v>
      </c>
      <c r="J69" s="10">
        <f t="shared" si="8"/>
        <v>0</v>
      </c>
      <c r="K69" s="10">
        <f t="shared" si="9"/>
        <v>0</v>
      </c>
      <c r="L69" s="10">
        <f t="shared" si="10"/>
        <v>0</v>
      </c>
      <c r="M69" s="10">
        <f t="shared" si="11"/>
        <v>0</v>
      </c>
    </row>
    <row r="70" spans="1:13" ht="12.75">
      <c r="A70" s="6">
        <v>34</v>
      </c>
      <c r="B70" s="31"/>
      <c r="D70" s="2"/>
      <c r="E70" s="2"/>
      <c r="F70" s="12"/>
      <c r="G70" s="13"/>
      <c r="I70" s="10">
        <f>+CEILING(IF($I$35=E70,F70,IF($I$35&lt;=G70,F70*0.3,0)),0.05)</f>
        <v>0</v>
      </c>
      <c r="J70" s="10">
        <f>+CEILING(IF($J$35&lt;=G70,F70*0.3,0),0.05)</f>
        <v>0</v>
      </c>
      <c r="K70" s="10">
        <f>+CEILING(IF($K$35&lt;=G70,F70*0.3,0),0.05)</f>
        <v>0</v>
      </c>
      <c r="L70" s="10">
        <f>+CEILING(IF($L$35&lt;=G70,F70*0.3,0),0.05)</f>
        <v>0</v>
      </c>
      <c r="M70" s="10">
        <f>CEILING(IF($M$35&lt;=G70,F70*0.3,0),0.05)</f>
        <v>0</v>
      </c>
    </row>
    <row r="71" spans="9:13" ht="7.5" customHeight="1">
      <c r="I71" s="14"/>
      <c r="J71" s="14"/>
      <c r="K71" s="14"/>
      <c r="L71" s="14"/>
      <c r="M71" s="14"/>
    </row>
    <row r="72" spans="9:13" ht="12.75">
      <c r="I72" s="15">
        <f>+SUM(I37:I71)</f>
        <v>96.7</v>
      </c>
      <c r="J72" s="15">
        <f>+SUM(J37:J71)</f>
        <v>34.949999999999996</v>
      </c>
      <c r="K72" s="15">
        <f>+SUM(K37:K71)</f>
        <v>3.1</v>
      </c>
      <c r="L72" s="15">
        <f>+SUM(L37:L71)</f>
        <v>0.9</v>
      </c>
      <c r="M72" s="15">
        <f>+SUM(M37:M71)</f>
        <v>0</v>
      </c>
    </row>
    <row r="73" spans="9:13" ht="12.75">
      <c r="I73" s="16"/>
      <c r="J73" s="16"/>
      <c r="K73" s="16"/>
      <c r="L73" s="16"/>
      <c r="M7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57"/>
  <sheetViews>
    <sheetView zoomScale="110" zoomScaleNormal="110"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530</v>
      </c>
      <c r="C5" s="30" t="s">
        <v>38</v>
      </c>
      <c r="D5" s="30" t="s">
        <v>531</v>
      </c>
      <c r="E5" s="30" t="s">
        <v>515</v>
      </c>
      <c r="F5" s="8">
        <v>5.25</v>
      </c>
      <c r="G5" s="9">
        <v>2020</v>
      </c>
      <c r="I5" s="10">
        <f aca="true" t="shared" si="0" ref="I5:M14">+IF($G5&gt;=I$3,$F5,0)</f>
        <v>5.25</v>
      </c>
      <c r="J5" s="10">
        <f t="shared" si="0"/>
        <v>5.25</v>
      </c>
      <c r="K5" s="10">
        <f t="shared" si="0"/>
        <v>5.25</v>
      </c>
      <c r="L5" s="10">
        <f t="shared" si="0"/>
        <v>5.25</v>
      </c>
      <c r="M5" s="10">
        <f t="shared" si="0"/>
        <v>5.25</v>
      </c>
    </row>
    <row r="6" spans="1:13" ht="12.75">
      <c r="A6" s="6">
        <v>2</v>
      </c>
      <c r="B6" s="31" t="s">
        <v>681</v>
      </c>
      <c r="C6" s="2" t="s">
        <v>41</v>
      </c>
      <c r="D6" s="30" t="s">
        <v>67</v>
      </c>
      <c r="E6" s="2" t="s">
        <v>557</v>
      </c>
      <c r="F6" s="12">
        <v>3.25</v>
      </c>
      <c r="G6" s="13">
        <v>2020</v>
      </c>
      <c r="I6" s="10">
        <f t="shared" si="0"/>
        <v>3.25</v>
      </c>
      <c r="J6" s="10">
        <f t="shared" si="0"/>
        <v>3.25</v>
      </c>
      <c r="K6" s="10">
        <f t="shared" si="0"/>
        <v>3.25</v>
      </c>
      <c r="L6" s="10">
        <f t="shared" si="0"/>
        <v>3.25</v>
      </c>
      <c r="M6" s="10">
        <f t="shared" si="0"/>
        <v>3.25</v>
      </c>
    </row>
    <row r="7" spans="1:13" ht="12.75">
      <c r="A7" s="6">
        <v>3</v>
      </c>
      <c r="B7" s="1" t="s">
        <v>532</v>
      </c>
      <c r="C7" s="2" t="s">
        <v>43</v>
      </c>
      <c r="D7" s="2" t="s">
        <v>64</v>
      </c>
      <c r="E7" s="30" t="s">
        <v>515</v>
      </c>
      <c r="F7" s="8">
        <v>3</v>
      </c>
      <c r="G7" s="9">
        <v>2020</v>
      </c>
      <c r="I7" s="10">
        <f t="shared" si="0"/>
        <v>3</v>
      </c>
      <c r="J7" s="10">
        <f t="shared" si="0"/>
        <v>3</v>
      </c>
      <c r="K7" s="10">
        <f t="shared" si="0"/>
        <v>3</v>
      </c>
      <c r="L7" s="10">
        <f t="shared" si="0"/>
        <v>3</v>
      </c>
      <c r="M7" s="10">
        <f t="shared" si="0"/>
        <v>3</v>
      </c>
    </row>
    <row r="8" spans="1:13" ht="12.75">
      <c r="A8" s="6">
        <v>4</v>
      </c>
      <c r="B8" s="1" t="s">
        <v>660</v>
      </c>
      <c r="C8" s="2" t="s">
        <v>44</v>
      </c>
      <c r="D8" s="30" t="s">
        <v>61</v>
      </c>
      <c r="E8" s="7" t="s">
        <v>557</v>
      </c>
      <c r="F8" s="12">
        <v>3</v>
      </c>
      <c r="G8" s="13">
        <v>2020</v>
      </c>
      <c r="I8" s="10">
        <f t="shared" si="0"/>
        <v>3</v>
      </c>
      <c r="J8" s="10">
        <f t="shared" si="0"/>
        <v>3</v>
      </c>
      <c r="K8" s="10">
        <f t="shared" si="0"/>
        <v>3</v>
      </c>
      <c r="L8" s="10">
        <f t="shared" si="0"/>
        <v>3</v>
      </c>
      <c r="M8" s="10">
        <f t="shared" si="0"/>
        <v>3</v>
      </c>
    </row>
    <row r="9" spans="1:13" ht="12.75">
      <c r="A9" s="6">
        <v>5</v>
      </c>
      <c r="B9" s="31" t="s">
        <v>680</v>
      </c>
      <c r="C9" s="30" t="s">
        <v>44</v>
      </c>
      <c r="D9" s="30" t="s">
        <v>88</v>
      </c>
      <c r="E9" s="2" t="s">
        <v>557</v>
      </c>
      <c r="F9" s="8">
        <v>3</v>
      </c>
      <c r="G9" s="9">
        <v>2020</v>
      </c>
      <c r="I9" s="10">
        <f t="shared" si="0"/>
        <v>3</v>
      </c>
      <c r="J9" s="10">
        <f t="shared" si="0"/>
        <v>3</v>
      </c>
      <c r="K9" s="10">
        <f t="shared" si="0"/>
        <v>3</v>
      </c>
      <c r="L9" s="10">
        <f t="shared" si="0"/>
        <v>3</v>
      </c>
      <c r="M9" s="10">
        <f t="shared" si="0"/>
        <v>3</v>
      </c>
    </row>
    <row r="10" spans="1:13" ht="12.75">
      <c r="A10" s="6">
        <v>6</v>
      </c>
      <c r="B10" s="1" t="s">
        <v>570</v>
      </c>
      <c r="C10" s="2" t="s">
        <v>38</v>
      </c>
      <c r="D10" s="2" t="s">
        <v>77</v>
      </c>
      <c r="E10" s="30" t="s">
        <v>557</v>
      </c>
      <c r="F10" s="8">
        <v>36</v>
      </c>
      <c r="G10" s="9">
        <v>2019</v>
      </c>
      <c r="I10" s="10">
        <f t="shared" si="0"/>
        <v>36</v>
      </c>
      <c r="J10" s="10">
        <f t="shared" si="0"/>
        <v>36</v>
      </c>
      <c r="K10" s="10">
        <f t="shared" si="0"/>
        <v>36</v>
      </c>
      <c r="L10" s="10">
        <f t="shared" si="0"/>
        <v>36</v>
      </c>
      <c r="M10" s="10">
        <f t="shared" si="0"/>
        <v>0</v>
      </c>
    </row>
    <row r="11" spans="1:13" ht="12.75">
      <c r="A11" s="6">
        <v>7</v>
      </c>
      <c r="B11" s="1" t="s">
        <v>485</v>
      </c>
      <c r="C11" s="2" t="s">
        <v>40</v>
      </c>
      <c r="D11" s="2" t="s">
        <v>68</v>
      </c>
      <c r="E11" s="2" t="s">
        <v>427</v>
      </c>
      <c r="F11" s="12">
        <v>20.25</v>
      </c>
      <c r="G11" s="13">
        <v>2019</v>
      </c>
      <c r="I11" s="10">
        <f t="shared" si="0"/>
        <v>20.25</v>
      </c>
      <c r="J11" s="10">
        <f t="shared" si="0"/>
        <v>20.25</v>
      </c>
      <c r="K11" s="10">
        <f t="shared" si="0"/>
        <v>20.25</v>
      </c>
      <c r="L11" s="10">
        <f t="shared" si="0"/>
        <v>20.25</v>
      </c>
      <c r="M11" s="10">
        <f t="shared" si="0"/>
        <v>0</v>
      </c>
    </row>
    <row r="12" spans="1:13" ht="12.75">
      <c r="A12" s="6">
        <v>8</v>
      </c>
      <c r="B12" s="31" t="s">
        <v>659</v>
      </c>
      <c r="C12" s="2" t="s">
        <v>41</v>
      </c>
      <c r="D12" s="2" t="s">
        <v>84</v>
      </c>
      <c r="E12" s="2" t="s">
        <v>557</v>
      </c>
      <c r="F12" s="8">
        <v>6.9</v>
      </c>
      <c r="G12" s="9">
        <v>2019</v>
      </c>
      <c r="I12" s="10">
        <f t="shared" si="0"/>
        <v>6.9</v>
      </c>
      <c r="J12" s="10">
        <f t="shared" si="0"/>
        <v>6.9</v>
      </c>
      <c r="K12" s="10">
        <f t="shared" si="0"/>
        <v>6.9</v>
      </c>
      <c r="L12" s="10">
        <f t="shared" si="0"/>
        <v>6.9</v>
      </c>
      <c r="M12" s="10">
        <f t="shared" si="0"/>
        <v>0</v>
      </c>
    </row>
    <row r="13" spans="1:13" ht="12.75">
      <c r="A13" s="6">
        <v>9</v>
      </c>
      <c r="B13" s="31" t="s">
        <v>418</v>
      </c>
      <c r="C13" s="30" t="s">
        <v>43</v>
      </c>
      <c r="D13" s="30" t="s">
        <v>63</v>
      </c>
      <c r="E13" s="32" t="s">
        <v>386</v>
      </c>
      <c r="F13" s="12">
        <v>2.9</v>
      </c>
      <c r="G13" s="13">
        <v>2019</v>
      </c>
      <c r="I13" s="10">
        <f t="shared" si="0"/>
        <v>2.9</v>
      </c>
      <c r="J13" s="10">
        <f t="shared" si="0"/>
        <v>2.9</v>
      </c>
      <c r="K13" s="10">
        <f t="shared" si="0"/>
        <v>2.9</v>
      </c>
      <c r="L13" s="10">
        <f t="shared" si="0"/>
        <v>2.9</v>
      </c>
      <c r="M13" s="10">
        <f t="shared" si="0"/>
        <v>0</v>
      </c>
    </row>
    <row r="14" spans="1:13" ht="12.75">
      <c r="A14" s="6">
        <v>10</v>
      </c>
      <c r="B14" s="1" t="s">
        <v>467</v>
      </c>
      <c r="C14" s="2" t="s">
        <v>39</v>
      </c>
      <c r="D14" s="2" t="s">
        <v>67</v>
      </c>
      <c r="E14" s="2" t="s">
        <v>427</v>
      </c>
      <c r="F14" s="8">
        <v>18.95</v>
      </c>
      <c r="G14" s="9">
        <v>2018</v>
      </c>
      <c r="I14" s="10">
        <f t="shared" si="0"/>
        <v>18.95</v>
      </c>
      <c r="J14" s="10">
        <f t="shared" si="0"/>
        <v>18.95</v>
      </c>
      <c r="K14" s="10">
        <f t="shared" si="0"/>
        <v>18.95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294</v>
      </c>
      <c r="C15" s="2" t="s">
        <v>39</v>
      </c>
      <c r="D15" s="2" t="s">
        <v>83</v>
      </c>
      <c r="E15" s="7" t="s">
        <v>371</v>
      </c>
      <c r="F15" s="12">
        <v>5.5</v>
      </c>
      <c r="G15" s="13">
        <v>2018</v>
      </c>
      <c r="I15" s="10">
        <f aca="true" t="shared" si="1" ref="I15:M29">+IF($G15&gt;=I$3,$F15,0)</f>
        <v>5.5</v>
      </c>
      <c r="J15" s="10">
        <f t="shared" si="1"/>
        <v>5.5</v>
      </c>
      <c r="K15" s="10">
        <f t="shared" si="1"/>
        <v>5.5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318</v>
      </c>
      <c r="C16" s="2" t="s">
        <v>39</v>
      </c>
      <c r="D16" s="2" t="s">
        <v>81</v>
      </c>
      <c r="E16" s="2" t="s">
        <v>371</v>
      </c>
      <c r="F16" s="8">
        <v>2.75</v>
      </c>
      <c r="G16" s="9">
        <v>2018</v>
      </c>
      <c r="I16" s="10">
        <f t="shared" si="1"/>
        <v>2.75</v>
      </c>
      <c r="J16" s="10">
        <f t="shared" si="1"/>
        <v>2.75</v>
      </c>
      <c r="K16" s="10">
        <f t="shared" si="1"/>
        <v>2.75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317</v>
      </c>
      <c r="C17" s="2" t="s">
        <v>43</v>
      </c>
      <c r="D17" s="2" t="s">
        <v>78</v>
      </c>
      <c r="E17" s="7" t="s">
        <v>371</v>
      </c>
      <c r="F17" s="12">
        <v>2.75</v>
      </c>
      <c r="G17" s="13">
        <v>2018</v>
      </c>
      <c r="I17" s="10">
        <f t="shared" si="1"/>
        <v>2.75</v>
      </c>
      <c r="J17" s="10">
        <f t="shared" si="1"/>
        <v>2.75</v>
      </c>
      <c r="K17" s="10">
        <f t="shared" si="1"/>
        <v>2.75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196</v>
      </c>
      <c r="C18" s="2" t="s">
        <v>40</v>
      </c>
      <c r="D18" s="2" t="s">
        <v>57</v>
      </c>
      <c r="E18" s="2" t="s">
        <v>373</v>
      </c>
      <c r="F18" s="12">
        <v>14</v>
      </c>
      <c r="G18" s="13">
        <v>2017</v>
      </c>
      <c r="I18" s="10">
        <f t="shared" si="1"/>
        <v>14</v>
      </c>
      <c r="J18" s="10">
        <f t="shared" si="1"/>
        <v>14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443</v>
      </c>
      <c r="C19" s="2" t="s">
        <v>42</v>
      </c>
      <c r="D19" s="2" t="s">
        <v>64</v>
      </c>
      <c r="E19" s="30" t="s">
        <v>427</v>
      </c>
      <c r="F19" s="8">
        <v>4.45</v>
      </c>
      <c r="G19" s="9">
        <v>2017</v>
      </c>
      <c r="I19" s="10">
        <f t="shared" si="1"/>
        <v>4.45</v>
      </c>
      <c r="J19" s="10">
        <f t="shared" si="1"/>
        <v>4.45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512</v>
      </c>
      <c r="C20" s="2" t="s">
        <v>40</v>
      </c>
      <c r="D20" s="2" t="s">
        <v>77</v>
      </c>
      <c r="E20" s="7" t="s">
        <v>507</v>
      </c>
      <c r="F20" s="8">
        <v>71.15</v>
      </c>
      <c r="G20" s="9">
        <v>2016</v>
      </c>
      <c r="I20" s="10">
        <f t="shared" si="1"/>
        <v>71.15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598</v>
      </c>
      <c r="C21" s="2" t="s">
        <v>39</v>
      </c>
      <c r="D21" s="2" t="s">
        <v>66</v>
      </c>
      <c r="E21" s="7" t="s">
        <v>557</v>
      </c>
      <c r="F21" s="8">
        <v>51.25</v>
      </c>
      <c r="G21" s="9">
        <v>2016</v>
      </c>
      <c r="I21" s="10">
        <f t="shared" si="1"/>
        <v>51.25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118</v>
      </c>
      <c r="C22" s="30" t="s">
        <v>40</v>
      </c>
      <c r="D22" s="30" t="s">
        <v>71</v>
      </c>
      <c r="E22" s="32" t="s">
        <v>374</v>
      </c>
      <c r="F22" s="12">
        <v>8.2</v>
      </c>
      <c r="G22" s="13">
        <v>2016</v>
      </c>
      <c r="I22" s="10">
        <f t="shared" si="1"/>
        <v>8.2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173</v>
      </c>
      <c r="C23" s="2" t="s">
        <v>43</v>
      </c>
      <c r="D23" s="2" t="s">
        <v>67</v>
      </c>
      <c r="E23" s="30" t="s">
        <v>56</v>
      </c>
      <c r="F23" s="12">
        <v>7.5</v>
      </c>
      <c r="G23" s="13">
        <v>2016</v>
      </c>
      <c r="I23" s="10">
        <f t="shared" si="1"/>
        <v>7.5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725</v>
      </c>
      <c r="C24" s="2" t="s">
        <v>42</v>
      </c>
      <c r="D24" s="2" t="s">
        <v>63</v>
      </c>
      <c r="E24" s="2" t="s">
        <v>691</v>
      </c>
      <c r="F24" s="12">
        <v>3</v>
      </c>
      <c r="G24" s="13">
        <v>2016</v>
      </c>
      <c r="I24" s="10">
        <f t="shared" si="1"/>
        <v>3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738</v>
      </c>
      <c r="C25" s="2" t="s">
        <v>39</v>
      </c>
      <c r="D25" s="2" t="s">
        <v>59</v>
      </c>
      <c r="E25" s="7" t="s">
        <v>691</v>
      </c>
      <c r="F25" s="8">
        <v>3</v>
      </c>
      <c r="G25" s="9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740</v>
      </c>
      <c r="C26" s="30" t="s">
        <v>43</v>
      </c>
      <c r="D26" s="30" t="s">
        <v>702</v>
      </c>
      <c r="E26" s="32" t="s">
        <v>691</v>
      </c>
      <c r="F26" s="12">
        <v>3</v>
      </c>
      <c r="G26" s="13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742</v>
      </c>
      <c r="C27" s="2" t="s">
        <v>44</v>
      </c>
      <c r="D27" s="2" t="s">
        <v>70</v>
      </c>
      <c r="E27" s="2" t="s">
        <v>691</v>
      </c>
      <c r="F27" s="8">
        <v>3</v>
      </c>
      <c r="G27" s="9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735</v>
      </c>
      <c r="C28" s="2" t="s">
        <v>43</v>
      </c>
      <c r="D28" s="2" t="s">
        <v>72</v>
      </c>
      <c r="E28" s="7" t="s">
        <v>691</v>
      </c>
      <c r="F28" s="12">
        <v>3</v>
      </c>
      <c r="G28" s="13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737</v>
      </c>
      <c r="C29" s="2" t="s">
        <v>39</v>
      </c>
      <c r="D29" s="2" t="s">
        <v>67</v>
      </c>
      <c r="E29" s="2" t="s">
        <v>691</v>
      </c>
      <c r="F29" s="12">
        <v>3</v>
      </c>
      <c r="G29" s="13">
        <v>2016</v>
      </c>
      <c r="I29" s="10">
        <f t="shared" si="1"/>
        <v>3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12"/>
      <c r="G31" s="13"/>
      <c r="I31" s="15">
        <f>+SUM(I5:I29)</f>
        <v>288.05</v>
      </c>
      <c r="J31" s="15">
        <f>+SUM(J5:J29)</f>
        <v>131.95000000000002</v>
      </c>
      <c r="K31" s="15">
        <f>+SUM(K5:K29)</f>
        <v>113.50000000000001</v>
      </c>
      <c r="L31" s="15">
        <f>+SUM(L5:L29)</f>
        <v>83.55000000000001</v>
      </c>
      <c r="M31" s="15">
        <f>+SUM(M5:M29)</f>
        <v>17.5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408</v>
      </c>
      <c r="C37" s="2" t="s">
        <v>39</v>
      </c>
      <c r="D37" s="2" t="s">
        <v>55</v>
      </c>
      <c r="E37" s="2">
        <v>2016</v>
      </c>
      <c r="F37" s="12">
        <v>5.8</v>
      </c>
      <c r="G37" s="13">
        <v>2019</v>
      </c>
      <c r="I37" s="10">
        <f aca="true" t="shared" si="2" ref="I37:I49">+CEILING(IF($I$35=E37,F37,IF($I$35&lt;=G37,F37*0.3,0)),0.05)</f>
        <v>5.800000000000001</v>
      </c>
      <c r="J37" s="10">
        <f aca="true" t="shared" si="3" ref="J37:J49">+CEILING(IF($J$35&lt;=G37,F37*0.3,0),0.05)</f>
        <v>1.75</v>
      </c>
      <c r="K37" s="10">
        <f aca="true" t="shared" si="4" ref="K37:K49">+CEILING(IF($K$35&lt;=G37,F37*0.3,0),0.05)</f>
        <v>1.75</v>
      </c>
      <c r="L37" s="10">
        <f aca="true" t="shared" si="5" ref="L37:L49">+CEILING(IF($L$35&lt;=G37,F37*0.3,0),0.05)</f>
        <v>1.75</v>
      </c>
      <c r="M37" s="10">
        <f aca="true" t="shared" si="6" ref="M37:M49">CEILING(IF($M$35&lt;=G37,F37*0.3,0),0.05)</f>
        <v>0</v>
      </c>
    </row>
    <row r="38" spans="1:13" ht="12.75">
      <c r="A38" s="6">
        <v>2</v>
      </c>
      <c r="B38" s="31" t="s">
        <v>377</v>
      </c>
      <c r="C38" s="2" t="s">
        <v>40</v>
      </c>
      <c r="D38" s="2" t="s">
        <v>69</v>
      </c>
      <c r="E38" s="2">
        <v>2016</v>
      </c>
      <c r="F38" s="8">
        <v>9.25</v>
      </c>
      <c r="G38" s="9">
        <v>2018</v>
      </c>
      <c r="I38" s="10">
        <f t="shared" si="2"/>
        <v>9.25</v>
      </c>
      <c r="J38" s="10">
        <f t="shared" si="3"/>
        <v>2.8000000000000003</v>
      </c>
      <c r="K38" s="10">
        <f t="shared" si="4"/>
        <v>2.8000000000000003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268</v>
      </c>
      <c r="C39" s="30" t="s">
        <v>41</v>
      </c>
      <c r="D39" s="30" t="s">
        <v>71</v>
      </c>
      <c r="E39" s="30">
        <v>2014</v>
      </c>
      <c r="F39" s="8">
        <v>2.55</v>
      </c>
      <c r="G39" s="9">
        <v>2017</v>
      </c>
      <c r="I39" s="10">
        <f t="shared" si="2"/>
        <v>0.8</v>
      </c>
      <c r="J39" s="10">
        <f t="shared" si="3"/>
        <v>0.8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198</v>
      </c>
      <c r="C40" s="2" t="s">
        <v>40</v>
      </c>
      <c r="D40" s="2" t="s">
        <v>86</v>
      </c>
      <c r="E40" s="30">
        <v>2014</v>
      </c>
      <c r="F40" s="8">
        <v>2.55</v>
      </c>
      <c r="G40" s="9">
        <v>2017</v>
      </c>
      <c r="I40" s="10">
        <f t="shared" si="2"/>
        <v>0.8</v>
      </c>
      <c r="J40" s="10">
        <f t="shared" si="3"/>
        <v>0.8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197</v>
      </c>
      <c r="C41" s="30" t="s">
        <v>43</v>
      </c>
      <c r="D41" s="30" t="s">
        <v>78</v>
      </c>
      <c r="E41" s="2">
        <v>2016</v>
      </c>
      <c r="F41" s="12">
        <v>2.55</v>
      </c>
      <c r="G41" s="13">
        <v>2017</v>
      </c>
      <c r="I41" s="10">
        <f t="shared" si="2"/>
        <v>2.5500000000000003</v>
      </c>
      <c r="J41" s="10">
        <f t="shared" si="3"/>
        <v>0.8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448</v>
      </c>
      <c r="C42" s="2" t="s">
        <v>44</v>
      </c>
      <c r="D42" s="2" t="s">
        <v>55</v>
      </c>
      <c r="E42" s="2">
        <v>2015</v>
      </c>
      <c r="F42" s="8">
        <v>5.7</v>
      </c>
      <c r="G42" s="9">
        <v>2016</v>
      </c>
      <c r="I42" s="10">
        <f t="shared" si="2"/>
        <v>1.75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736</v>
      </c>
      <c r="C43" s="2" t="s">
        <v>44</v>
      </c>
      <c r="D43" s="2" t="s">
        <v>71</v>
      </c>
      <c r="E43" s="2">
        <v>2016</v>
      </c>
      <c r="F43" s="12">
        <v>3</v>
      </c>
      <c r="G43" s="13">
        <v>2016</v>
      </c>
      <c r="I43" s="10">
        <f t="shared" si="2"/>
        <v>3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693</v>
      </c>
      <c r="C44" s="2" t="s">
        <v>44</v>
      </c>
      <c r="D44" s="2" t="s">
        <v>59</v>
      </c>
      <c r="E44" s="2">
        <v>2016</v>
      </c>
      <c r="F44" s="8">
        <v>3</v>
      </c>
      <c r="G44" s="9">
        <v>2016</v>
      </c>
      <c r="I44" s="10">
        <f t="shared" si="2"/>
        <v>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741</v>
      </c>
      <c r="C45" s="2" t="s">
        <v>44</v>
      </c>
      <c r="D45" s="2" t="s">
        <v>67</v>
      </c>
      <c r="E45" s="2">
        <v>2016</v>
      </c>
      <c r="F45" s="12">
        <v>3</v>
      </c>
      <c r="G45" s="13">
        <v>2016</v>
      </c>
      <c r="I45" s="10">
        <f t="shared" si="2"/>
        <v>3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739</v>
      </c>
      <c r="C46" s="2" t="s">
        <v>43</v>
      </c>
      <c r="D46" s="2" t="s">
        <v>60</v>
      </c>
      <c r="E46" s="2">
        <v>2016</v>
      </c>
      <c r="F46" s="8">
        <v>3</v>
      </c>
      <c r="G46" s="9">
        <v>2016</v>
      </c>
      <c r="I46" s="10">
        <f t="shared" si="2"/>
        <v>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 t="s">
        <v>172</v>
      </c>
      <c r="C47" s="30" t="s">
        <v>40</v>
      </c>
      <c r="D47" s="30" t="s">
        <v>81</v>
      </c>
      <c r="E47" s="32">
        <v>2012</v>
      </c>
      <c r="F47" s="12">
        <v>2.35</v>
      </c>
      <c r="G47" s="13">
        <v>2016</v>
      </c>
      <c r="I47" s="10">
        <f t="shared" si="2"/>
        <v>0.75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1"/>
      <c r="D48" s="2"/>
      <c r="E48" s="2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1"/>
      <c r="D49" s="2"/>
      <c r="E49" s="2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1"/>
      <c r="D50" s="2"/>
      <c r="E50" s="2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.75">
      <c r="A51" s="6">
        <v>15</v>
      </c>
      <c r="B51" s="31"/>
      <c r="D51" s="2"/>
      <c r="E51" s="2"/>
      <c r="F51" s="8"/>
      <c r="G51" s="9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1:13" ht="12.75">
      <c r="A52" s="6">
        <v>16</v>
      </c>
      <c r="B52" s="31"/>
      <c r="D52" s="2"/>
      <c r="E52" s="2"/>
      <c r="F52" s="12"/>
      <c r="G52" s="13"/>
      <c r="I52" s="10">
        <f>+CEILING(IF($I$35=E52,F52,IF($I$35&lt;=G52,F52*0.3,0)),0.05)</f>
        <v>0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D53" s="2"/>
      <c r="E53" s="2"/>
      <c r="F53" s="8"/>
      <c r="G53" s="9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B54" s="31"/>
      <c r="D54" s="2"/>
      <c r="E54" s="2"/>
      <c r="F54" s="12"/>
      <c r="G54" s="13"/>
      <c r="I54" s="10">
        <f>+CEILING(IF($I$35=E54,F54,IF($I$35&lt;=G54,F54*0.3,0)),0.05)</f>
        <v>0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9:13" ht="7.5" customHeight="1">
      <c r="I55" s="14"/>
      <c r="J55" s="14"/>
      <c r="K55" s="14"/>
      <c r="L55" s="14"/>
      <c r="M55" s="14"/>
    </row>
    <row r="56" spans="9:13" ht="12.75">
      <c r="I56" s="15">
        <f>+SUM(I37:I55)</f>
        <v>33.7</v>
      </c>
      <c r="J56" s="15">
        <f>+SUM(J37:J55)</f>
        <v>6.95</v>
      </c>
      <c r="K56" s="15">
        <f>+SUM(K37:K55)</f>
        <v>4.550000000000001</v>
      </c>
      <c r="L56" s="15">
        <f>+SUM(L37:L55)</f>
        <v>1.75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654</v>
      </c>
      <c r="C5" s="30" t="s">
        <v>40</v>
      </c>
      <c r="D5" s="2" t="s">
        <v>70</v>
      </c>
      <c r="E5" s="7" t="s">
        <v>557</v>
      </c>
      <c r="F5" s="8">
        <v>12.75</v>
      </c>
      <c r="G5" s="9">
        <v>2020</v>
      </c>
      <c r="I5" s="10">
        <f aca="true" t="shared" si="0" ref="I5:M14">+IF($G5&gt;=I$3,$F5,0)</f>
        <v>12.75</v>
      </c>
      <c r="J5" s="10">
        <f t="shared" si="0"/>
        <v>12.75</v>
      </c>
      <c r="K5" s="10">
        <f t="shared" si="0"/>
        <v>12.75</v>
      </c>
      <c r="L5" s="10">
        <f t="shared" si="0"/>
        <v>12.75</v>
      </c>
      <c r="M5" s="10">
        <f t="shared" si="0"/>
        <v>12.75</v>
      </c>
    </row>
    <row r="6" spans="1:13" ht="12.75">
      <c r="A6" s="6">
        <v>2</v>
      </c>
      <c r="B6" s="21" t="s">
        <v>648</v>
      </c>
      <c r="C6" s="2" t="s">
        <v>42</v>
      </c>
      <c r="D6" s="2" t="s">
        <v>84</v>
      </c>
      <c r="E6" s="7" t="s">
        <v>557</v>
      </c>
      <c r="F6" s="8">
        <v>6.1</v>
      </c>
      <c r="G6" s="9">
        <v>2020</v>
      </c>
      <c r="I6" s="10">
        <f t="shared" si="0"/>
        <v>6.1</v>
      </c>
      <c r="J6" s="10">
        <f t="shared" si="0"/>
        <v>6.1</v>
      </c>
      <c r="K6" s="10">
        <f t="shared" si="0"/>
        <v>6.1</v>
      </c>
      <c r="L6" s="10">
        <f t="shared" si="0"/>
        <v>6.1</v>
      </c>
      <c r="M6" s="10">
        <f t="shared" si="0"/>
        <v>6.1</v>
      </c>
    </row>
    <row r="7" spans="1:13" ht="12.75">
      <c r="A7" s="6">
        <v>3</v>
      </c>
      <c r="B7" s="1" t="s">
        <v>655</v>
      </c>
      <c r="C7" s="30" t="s">
        <v>41</v>
      </c>
      <c r="D7" s="2" t="s">
        <v>68</v>
      </c>
      <c r="E7" s="7" t="s">
        <v>557</v>
      </c>
      <c r="F7" s="8">
        <v>4</v>
      </c>
      <c r="G7" s="9">
        <v>2020</v>
      </c>
      <c r="I7" s="10">
        <f t="shared" si="0"/>
        <v>4</v>
      </c>
      <c r="J7" s="10">
        <f t="shared" si="0"/>
        <v>4</v>
      </c>
      <c r="K7" s="10">
        <f t="shared" si="0"/>
        <v>4</v>
      </c>
      <c r="L7" s="10">
        <f t="shared" si="0"/>
        <v>4</v>
      </c>
      <c r="M7" s="10">
        <f t="shared" si="0"/>
        <v>4</v>
      </c>
    </row>
    <row r="8" spans="1:13" ht="12.75">
      <c r="A8" s="6">
        <v>4</v>
      </c>
      <c r="B8" s="1" t="s">
        <v>539</v>
      </c>
      <c r="C8" s="2" t="s">
        <v>39</v>
      </c>
      <c r="D8" s="2" t="s">
        <v>80</v>
      </c>
      <c r="E8" s="7" t="s">
        <v>515</v>
      </c>
      <c r="F8" s="8">
        <v>3</v>
      </c>
      <c r="G8" s="9">
        <v>2020</v>
      </c>
      <c r="I8" s="10">
        <f t="shared" si="0"/>
        <v>3</v>
      </c>
      <c r="J8" s="10">
        <f t="shared" si="0"/>
        <v>3</v>
      </c>
      <c r="K8" s="10">
        <f t="shared" si="0"/>
        <v>3</v>
      </c>
      <c r="L8" s="10">
        <f t="shared" si="0"/>
        <v>3</v>
      </c>
      <c r="M8" s="10">
        <f t="shared" si="0"/>
        <v>3</v>
      </c>
    </row>
    <row r="9" spans="1:13" ht="12.75">
      <c r="A9" s="6">
        <v>5</v>
      </c>
      <c r="B9" s="1" t="s">
        <v>540</v>
      </c>
      <c r="C9" s="2" t="s">
        <v>43</v>
      </c>
      <c r="D9" s="2" t="s">
        <v>65</v>
      </c>
      <c r="E9" s="7" t="s">
        <v>515</v>
      </c>
      <c r="F9" s="8">
        <v>3</v>
      </c>
      <c r="G9" s="9">
        <v>2020</v>
      </c>
      <c r="I9" s="10">
        <f t="shared" si="0"/>
        <v>3</v>
      </c>
      <c r="J9" s="10">
        <f t="shared" si="0"/>
        <v>3</v>
      </c>
      <c r="K9" s="10">
        <f t="shared" si="0"/>
        <v>3</v>
      </c>
      <c r="L9" s="10">
        <f t="shared" si="0"/>
        <v>3</v>
      </c>
      <c r="M9" s="10">
        <f t="shared" si="0"/>
        <v>3</v>
      </c>
    </row>
    <row r="10" spans="1:13" ht="12.75">
      <c r="A10" s="6">
        <v>6</v>
      </c>
      <c r="B10" s="21" t="s">
        <v>413</v>
      </c>
      <c r="C10" s="2" t="s">
        <v>40</v>
      </c>
      <c r="D10" s="2" t="s">
        <v>69</v>
      </c>
      <c r="E10" s="7" t="s">
        <v>386</v>
      </c>
      <c r="F10" s="8">
        <v>2.9</v>
      </c>
      <c r="G10" s="9">
        <v>2019</v>
      </c>
      <c r="I10" s="10">
        <f t="shared" si="0"/>
        <v>2.9</v>
      </c>
      <c r="J10" s="10">
        <f t="shared" si="0"/>
        <v>2.9</v>
      </c>
      <c r="K10" s="10">
        <f t="shared" si="0"/>
        <v>2.9</v>
      </c>
      <c r="L10" s="10">
        <f t="shared" si="0"/>
        <v>2.9</v>
      </c>
      <c r="M10" s="10">
        <f t="shared" si="0"/>
        <v>0</v>
      </c>
    </row>
    <row r="11" spans="1:13" ht="12.75">
      <c r="A11" s="6">
        <v>7</v>
      </c>
      <c r="B11" s="31" t="s">
        <v>424</v>
      </c>
      <c r="C11" s="2" t="s">
        <v>44</v>
      </c>
      <c r="D11" s="30" t="s">
        <v>68</v>
      </c>
      <c r="E11" s="7" t="s">
        <v>386</v>
      </c>
      <c r="F11" s="12">
        <v>2.9</v>
      </c>
      <c r="G11" s="13">
        <v>2019</v>
      </c>
      <c r="I11" s="10">
        <f t="shared" si="0"/>
        <v>2.9</v>
      </c>
      <c r="J11" s="10">
        <f t="shared" si="0"/>
        <v>2.9</v>
      </c>
      <c r="K11" s="10">
        <f t="shared" si="0"/>
        <v>2.9</v>
      </c>
      <c r="L11" s="10">
        <f t="shared" si="0"/>
        <v>2.9</v>
      </c>
      <c r="M11" s="10">
        <f t="shared" si="0"/>
        <v>0</v>
      </c>
    </row>
    <row r="12" spans="1:13" ht="12.75">
      <c r="A12" s="6">
        <v>8</v>
      </c>
      <c r="B12" s="21" t="s">
        <v>615</v>
      </c>
      <c r="C12" s="2" t="s">
        <v>40</v>
      </c>
      <c r="D12" s="2" t="s">
        <v>55</v>
      </c>
      <c r="E12" s="7" t="s">
        <v>557</v>
      </c>
      <c r="F12" s="8">
        <v>18</v>
      </c>
      <c r="G12" s="9">
        <v>2018</v>
      </c>
      <c r="I12" s="10">
        <f t="shared" si="0"/>
        <v>18</v>
      </c>
      <c r="J12" s="10">
        <f t="shared" si="0"/>
        <v>18</v>
      </c>
      <c r="K12" s="10">
        <f t="shared" si="0"/>
        <v>18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" t="s">
        <v>335</v>
      </c>
      <c r="C13" s="2" t="s">
        <v>41</v>
      </c>
      <c r="D13" s="2" t="s">
        <v>87</v>
      </c>
      <c r="E13" s="7" t="s">
        <v>372</v>
      </c>
      <c r="F13" s="8">
        <v>17.8</v>
      </c>
      <c r="G13" s="9">
        <v>2018</v>
      </c>
      <c r="I13" s="10">
        <f t="shared" si="0"/>
        <v>17.8</v>
      </c>
      <c r="J13" s="10">
        <f t="shared" si="0"/>
        <v>17.8</v>
      </c>
      <c r="K13" s="10">
        <f t="shared" si="0"/>
        <v>17.8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295</v>
      </c>
      <c r="C14" s="30" t="s">
        <v>39</v>
      </c>
      <c r="D14" s="30" t="s">
        <v>65</v>
      </c>
      <c r="E14" s="32" t="s">
        <v>371</v>
      </c>
      <c r="F14" s="8">
        <v>11</v>
      </c>
      <c r="G14" s="9">
        <v>2018</v>
      </c>
      <c r="I14" s="10">
        <f t="shared" si="0"/>
        <v>11</v>
      </c>
      <c r="J14" s="10">
        <f t="shared" si="0"/>
        <v>11</v>
      </c>
      <c r="K14" s="10">
        <f t="shared" si="0"/>
        <v>11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349</v>
      </c>
      <c r="C15" s="2" t="s">
        <v>42</v>
      </c>
      <c r="D15" s="2" t="s">
        <v>79</v>
      </c>
      <c r="E15" s="7" t="s">
        <v>372</v>
      </c>
      <c r="F15" s="8">
        <v>3.4</v>
      </c>
      <c r="G15" s="9">
        <v>2017</v>
      </c>
      <c r="I15" s="10">
        <f aca="true" t="shared" si="1" ref="I15:M29">+IF($G15&gt;=I$3,$F15,0)</f>
        <v>3.4</v>
      </c>
      <c r="J15" s="10">
        <f t="shared" si="1"/>
        <v>3.4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21" t="s">
        <v>221</v>
      </c>
      <c r="C16" s="2" t="s">
        <v>40</v>
      </c>
      <c r="D16" s="2" t="s">
        <v>80</v>
      </c>
      <c r="E16" s="7" t="s">
        <v>373</v>
      </c>
      <c r="F16" s="8">
        <v>2.55</v>
      </c>
      <c r="G16" s="9">
        <v>2017</v>
      </c>
      <c r="I16" s="10">
        <f t="shared" si="1"/>
        <v>2.55</v>
      </c>
      <c r="J16" s="10">
        <f t="shared" si="1"/>
        <v>2.55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103</v>
      </c>
      <c r="C17" s="2" t="s">
        <v>38</v>
      </c>
      <c r="D17" s="2" t="s">
        <v>59</v>
      </c>
      <c r="E17" s="7" t="s">
        <v>507</v>
      </c>
      <c r="F17" s="8">
        <v>77.5</v>
      </c>
      <c r="G17" s="9">
        <v>2016</v>
      </c>
      <c r="I17" s="10">
        <f t="shared" si="1"/>
        <v>77.5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21" t="s">
        <v>578</v>
      </c>
      <c r="C18" s="2" t="s">
        <v>39</v>
      </c>
      <c r="D18" s="2" t="s">
        <v>69</v>
      </c>
      <c r="E18" s="7" t="s">
        <v>557</v>
      </c>
      <c r="F18" s="8">
        <v>65.2</v>
      </c>
      <c r="G18" s="9">
        <v>2016</v>
      </c>
      <c r="I18" s="10">
        <f t="shared" si="1"/>
        <v>65.2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630</v>
      </c>
      <c r="C19" s="30" t="s">
        <v>40</v>
      </c>
      <c r="D19" s="30" t="s">
        <v>83</v>
      </c>
      <c r="E19" s="7" t="s">
        <v>557</v>
      </c>
      <c r="F19" s="8">
        <v>26.05</v>
      </c>
      <c r="G19" s="9">
        <v>2016</v>
      </c>
      <c r="I19" s="10">
        <f t="shared" si="1"/>
        <v>26.05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450</v>
      </c>
      <c r="C20" s="2" t="s">
        <v>39</v>
      </c>
      <c r="D20" s="30" t="s">
        <v>59</v>
      </c>
      <c r="E20" s="7" t="s">
        <v>427</v>
      </c>
      <c r="F20" s="8">
        <v>4.6</v>
      </c>
      <c r="G20" s="9">
        <v>2016</v>
      </c>
      <c r="I20" s="10">
        <f t="shared" si="1"/>
        <v>4.6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730</v>
      </c>
      <c r="C21" s="2" t="s">
        <v>43</v>
      </c>
      <c r="D21" s="2" t="s">
        <v>88</v>
      </c>
      <c r="E21" s="2" t="s">
        <v>691</v>
      </c>
      <c r="F21" s="8">
        <v>3</v>
      </c>
      <c r="G21" s="9">
        <v>2016</v>
      </c>
      <c r="I21" s="10">
        <f t="shared" si="1"/>
        <v>3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21" t="s">
        <v>500</v>
      </c>
      <c r="C22" s="2" t="s">
        <v>39</v>
      </c>
      <c r="D22" s="2" t="s">
        <v>72</v>
      </c>
      <c r="E22" s="7" t="s">
        <v>691</v>
      </c>
      <c r="F22" s="8">
        <v>3</v>
      </c>
      <c r="G22" s="9">
        <v>2016</v>
      </c>
      <c r="I22" s="10">
        <f t="shared" si="1"/>
        <v>3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21" t="s">
        <v>734</v>
      </c>
      <c r="C23" s="2" t="s">
        <v>43</v>
      </c>
      <c r="D23" s="2" t="s">
        <v>59</v>
      </c>
      <c r="E23" s="7" t="s">
        <v>691</v>
      </c>
      <c r="F23" s="8">
        <v>3</v>
      </c>
      <c r="G23" s="9">
        <v>2016</v>
      </c>
      <c r="I23" s="10">
        <f t="shared" si="1"/>
        <v>3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726</v>
      </c>
      <c r="C24" s="2" t="s">
        <v>43</v>
      </c>
      <c r="D24" s="2" t="s">
        <v>63</v>
      </c>
      <c r="E24" s="7" t="s">
        <v>691</v>
      </c>
      <c r="F24" s="8">
        <v>3</v>
      </c>
      <c r="G24" s="9">
        <v>2016</v>
      </c>
      <c r="I24" s="10">
        <f t="shared" si="1"/>
        <v>3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714</v>
      </c>
      <c r="C25" s="30" t="s">
        <v>39</v>
      </c>
      <c r="D25" s="30" t="s">
        <v>62</v>
      </c>
      <c r="E25" s="7" t="s">
        <v>691</v>
      </c>
      <c r="F25" s="8">
        <v>3</v>
      </c>
      <c r="G25" s="9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21" t="s">
        <v>733</v>
      </c>
      <c r="C26" s="2" t="s">
        <v>44</v>
      </c>
      <c r="D26" s="2" t="s">
        <v>702</v>
      </c>
      <c r="E26" s="7" t="s">
        <v>691</v>
      </c>
      <c r="F26" s="8">
        <v>3</v>
      </c>
      <c r="G26" s="9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01" t="s">
        <v>160</v>
      </c>
      <c r="C27" s="30" t="s">
        <v>40</v>
      </c>
      <c r="D27" s="30" t="s">
        <v>72</v>
      </c>
      <c r="E27" s="32" t="s">
        <v>374</v>
      </c>
      <c r="F27" s="8">
        <v>2.35</v>
      </c>
      <c r="G27" s="9">
        <v>2016</v>
      </c>
      <c r="I27" s="10">
        <f t="shared" si="1"/>
        <v>2.35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106</v>
      </c>
      <c r="C28" s="2" t="s">
        <v>43</v>
      </c>
      <c r="D28" s="2" t="s">
        <v>77</v>
      </c>
      <c r="E28" s="7" t="s">
        <v>375</v>
      </c>
      <c r="F28" s="8">
        <v>2.35</v>
      </c>
      <c r="G28" s="9">
        <v>2016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" t="s">
        <v>174</v>
      </c>
      <c r="C29" s="2" t="s">
        <v>44</v>
      </c>
      <c r="D29" s="2" t="s">
        <v>85</v>
      </c>
      <c r="E29" s="7" t="s">
        <v>375</v>
      </c>
      <c r="F29" s="8">
        <v>2.35</v>
      </c>
      <c r="G29" s="9">
        <v>2016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2"/>
      <c r="F31" s="8"/>
      <c r="G31" s="9"/>
      <c r="I31" s="15">
        <f>+SUM(I5:I29)</f>
        <v>285.8000000000001</v>
      </c>
      <c r="J31" s="15">
        <f>+SUM(J5:J29)</f>
        <v>87.4</v>
      </c>
      <c r="K31" s="15">
        <f>+SUM(K5:K29)</f>
        <v>81.45</v>
      </c>
      <c r="L31" s="15">
        <f>+SUM(L5:L29)</f>
        <v>34.65</v>
      </c>
      <c r="M31" s="15">
        <f>+SUM(M5:M29)</f>
        <v>28.85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21" t="s">
        <v>309</v>
      </c>
      <c r="C37" s="2" t="s">
        <v>39</v>
      </c>
      <c r="D37" s="2" t="s">
        <v>78</v>
      </c>
      <c r="E37" s="7">
        <v>2015</v>
      </c>
      <c r="F37" s="8">
        <v>2.75</v>
      </c>
      <c r="G37" s="9">
        <v>2018</v>
      </c>
      <c r="I37" s="10">
        <f aca="true" t="shared" si="2" ref="I37:I46">+CEILING(IF($I$35=E37,F37,IF($I$35&lt;=G37,F37*0.3,0)),0.05)</f>
        <v>0.8500000000000001</v>
      </c>
      <c r="J37" s="10">
        <f aca="true" t="shared" si="3" ref="J37:J46">+CEILING(IF($J$35&lt;=G37,F37*0.3,0),0.05)</f>
        <v>0.8500000000000001</v>
      </c>
      <c r="K37" s="10">
        <f aca="true" t="shared" si="4" ref="K37:K46">+CEILING(IF($K$35&lt;=G37,F37*0.3,0),0.05)</f>
        <v>0.8500000000000001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21" t="s">
        <v>220</v>
      </c>
      <c r="C38" s="2" t="s">
        <v>39</v>
      </c>
      <c r="D38" s="2" t="s">
        <v>76</v>
      </c>
      <c r="E38" s="7">
        <v>2015</v>
      </c>
      <c r="F38" s="8">
        <v>3.85</v>
      </c>
      <c r="G38" s="9">
        <v>2017</v>
      </c>
      <c r="I38" s="10">
        <f t="shared" si="2"/>
        <v>1.2000000000000002</v>
      </c>
      <c r="J38" s="10">
        <f t="shared" si="3"/>
        <v>1.2000000000000002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253</v>
      </c>
      <c r="C39" s="2" t="s">
        <v>43</v>
      </c>
      <c r="D39" s="2" t="s">
        <v>60</v>
      </c>
      <c r="E39" s="2">
        <v>2016</v>
      </c>
      <c r="F39" s="8">
        <v>2.55</v>
      </c>
      <c r="G39" s="9">
        <v>2017</v>
      </c>
      <c r="I39" s="10">
        <f t="shared" si="2"/>
        <v>2.5500000000000003</v>
      </c>
      <c r="J39" s="10">
        <f t="shared" si="3"/>
        <v>0.8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21" t="s">
        <v>656</v>
      </c>
      <c r="C40" s="2" t="s">
        <v>38</v>
      </c>
      <c r="D40" s="2" t="s">
        <v>531</v>
      </c>
      <c r="E40" s="7">
        <v>2016</v>
      </c>
      <c r="F40" s="8">
        <v>5.8</v>
      </c>
      <c r="G40" s="9">
        <v>2016</v>
      </c>
      <c r="I40" s="10">
        <f t="shared" si="2"/>
        <v>5.800000000000001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21" t="s">
        <v>179</v>
      </c>
      <c r="C41" s="2" t="s">
        <v>43</v>
      </c>
      <c r="D41" s="2" t="s">
        <v>55</v>
      </c>
      <c r="E41" s="7">
        <v>2013</v>
      </c>
      <c r="F41" s="8">
        <v>4.85</v>
      </c>
      <c r="G41" s="9">
        <v>2016</v>
      </c>
      <c r="I41" s="10">
        <f t="shared" si="2"/>
        <v>1.5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21" t="s">
        <v>679</v>
      </c>
      <c r="C42" s="2" t="s">
        <v>43</v>
      </c>
      <c r="D42" s="2" t="s">
        <v>86</v>
      </c>
      <c r="E42" s="7">
        <v>2016</v>
      </c>
      <c r="F42" s="8">
        <v>3.75</v>
      </c>
      <c r="G42" s="9">
        <v>2016</v>
      </c>
      <c r="I42" s="10">
        <f t="shared" si="2"/>
        <v>3.75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379</v>
      </c>
      <c r="C43" s="2" t="s">
        <v>39</v>
      </c>
      <c r="D43" s="2" t="s">
        <v>712</v>
      </c>
      <c r="E43" s="7">
        <v>2016</v>
      </c>
      <c r="F43" s="8">
        <v>3</v>
      </c>
      <c r="G43" s="9">
        <v>2016</v>
      </c>
      <c r="I43" s="10">
        <f t="shared" si="2"/>
        <v>3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21" t="s">
        <v>715</v>
      </c>
      <c r="C44" s="2" t="s">
        <v>43</v>
      </c>
      <c r="D44" s="2" t="s">
        <v>71</v>
      </c>
      <c r="E44" s="7">
        <v>2016</v>
      </c>
      <c r="F44" s="8">
        <v>3</v>
      </c>
      <c r="G44" s="9">
        <v>2016</v>
      </c>
      <c r="I44" s="10">
        <f t="shared" si="2"/>
        <v>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21" t="s">
        <v>729</v>
      </c>
      <c r="C45" s="2" t="s">
        <v>43</v>
      </c>
      <c r="D45" s="2" t="s">
        <v>86</v>
      </c>
      <c r="E45" s="7">
        <v>2016</v>
      </c>
      <c r="F45" s="8">
        <v>3</v>
      </c>
      <c r="G45" s="9">
        <v>2016</v>
      </c>
      <c r="I45" s="10">
        <f t="shared" si="2"/>
        <v>3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21" t="s">
        <v>727</v>
      </c>
      <c r="C46" s="2" t="s">
        <v>43</v>
      </c>
      <c r="D46" s="2" t="s">
        <v>728</v>
      </c>
      <c r="E46" s="7">
        <v>2016</v>
      </c>
      <c r="F46" s="8">
        <v>3</v>
      </c>
      <c r="G46" s="9">
        <v>2016</v>
      </c>
      <c r="I46" s="10">
        <f t="shared" si="2"/>
        <v>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21" t="s">
        <v>731</v>
      </c>
      <c r="C47" s="2" t="s">
        <v>44</v>
      </c>
      <c r="D47" s="2" t="s">
        <v>87</v>
      </c>
      <c r="E47" s="7">
        <v>2016</v>
      </c>
      <c r="F47" s="8">
        <v>3</v>
      </c>
      <c r="G47" s="9">
        <v>2016</v>
      </c>
      <c r="I47" s="10">
        <f aca="true" t="shared" si="7" ref="I47:I54">+CEILING(IF($I$35=E47,F47,IF($I$35&lt;=G47,F47*0.3,0)),0.05)</f>
        <v>3</v>
      </c>
      <c r="J47" s="10">
        <f aca="true" t="shared" si="8" ref="J47:J54">+CEILING(IF($J$35&lt;=G47,F47*0.3,0),0.05)</f>
        <v>0</v>
      </c>
      <c r="K47" s="10">
        <f aca="true" t="shared" si="9" ref="K47:K54">+CEILING(IF($K$35&lt;=G47,F47*0.3,0),0.05)</f>
        <v>0</v>
      </c>
      <c r="L47" s="10">
        <f aca="true" t="shared" si="10" ref="L47:L54">+CEILING(IF($L$35&lt;=G47,F47*0.3,0),0.05)</f>
        <v>0</v>
      </c>
      <c r="M47" s="10">
        <f aca="true" t="shared" si="11" ref="M47:M54">CEILING(IF($M$35&lt;=G47,F47*0.3,0),0.05)</f>
        <v>0</v>
      </c>
    </row>
    <row r="48" spans="1:13" ht="12.75">
      <c r="A48" s="6">
        <v>12</v>
      </c>
      <c r="B48" s="21" t="s">
        <v>732</v>
      </c>
      <c r="C48" s="2" t="s">
        <v>43</v>
      </c>
      <c r="D48" s="2" t="s">
        <v>86</v>
      </c>
      <c r="E48" s="7">
        <v>2016</v>
      </c>
      <c r="F48" s="8">
        <v>3</v>
      </c>
      <c r="G48" s="9">
        <v>2016</v>
      </c>
      <c r="I48" s="10">
        <f t="shared" si="7"/>
        <v>3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1" t="s">
        <v>248</v>
      </c>
      <c r="C49" s="2" t="s">
        <v>43</v>
      </c>
      <c r="D49" s="2" t="s">
        <v>76</v>
      </c>
      <c r="E49" s="7">
        <v>2014</v>
      </c>
      <c r="F49" s="8">
        <v>2.75</v>
      </c>
      <c r="G49" s="9">
        <v>2016</v>
      </c>
      <c r="I49" s="10">
        <f t="shared" si="7"/>
        <v>0.8500000000000001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1" t="s">
        <v>180</v>
      </c>
      <c r="C50" s="2" t="s">
        <v>38</v>
      </c>
      <c r="D50" s="2" t="s">
        <v>59</v>
      </c>
      <c r="E50" s="7">
        <v>2013</v>
      </c>
      <c r="F50" s="8">
        <v>2.35</v>
      </c>
      <c r="G50" s="9">
        <v>2016</v>
      </c>
      <c r="I50" s="10">
        <f t="shared" si="7"/>
        <v>0.75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B51" s="31"/>
      <c r="C51" s="30"/>
      <c r="D51" s="30"/>
      <c r="E51" s="32"/>
      <c r="F51" s="8"/>
      <c r="G51" s="9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B53" s="21"/>
      <c r="D53" s="2"/>
      <c r="E53" s="7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B54" s="22"/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4"/>
      <c r="D55" s="30"/>
      <c r="E55" s="7"/>
      <c r="F55" s="8"/>
      <c r="G55" s="9"/>
      <c r="I55" s="10">
        <f>+CEILING(IF($I$35=E55,F55,IF($I$35&lt;=G55,F55*0.3,0)),0.05)</f>
        <v>0</v>
      </c>
      <c r="J55" s="10">
        <f>+CEILING(IF($J$35&lt;=G55,F55*0.3,0),0.05)</f>
        <v>0</v>
      </c>
      <c r="K55" s="10">
        <f>+CEILING(IF($K$35&lt;=G55,F55*0.3,0),0.05)</f>
        <v>0</v>
      </c>
      <c r="L55" s="10">
        <f>+CEILING(IF($L$35&lt;=G55,F55*0.3,0),0.05)</f>
        <v>0</v>
      </c>
      <c r="M55" s="10">
        <f>CEILING(IF($M$35&lt;=G55,F55*0.3,0),0.05)</f>
        <v>0</v>
      </c>
    </row>
    <row r="56" spans="1:13" ht="12.75">
      <c r="A56" s="6">
        <v>20</v>
      </c>
      <c r="B56" s="14"/>
      <c r="D56" s="2"/>
      <c r="E56" s="7"/>
      <c r="F56" s="8"/>
      <c r="G56" s="9"/>
      <c r="I56" s="10">
        <f>+CEILING(IF($I$35=E56,F56,IF($I$35&lt;=G56,F56*0.3,0)),0.05)</f>
        <v>0</v>
      </c>
      <c r="J56" s="10">
        <f>+CEILING(IF($J$35&lt;=G56,F56*0.3,0),0.05)</f>
        <v>0</v>
      </c>
      <c r="K56" s="10">
        <f>+CEILING(IF($K$35&lt;=G56,F56*0.3,0),0.05)</f>
        <v>0</v>
      </c>
      <c r="L56" s="10">
        <f>+CEILING(IF($L$35&lt;=G56,F56*0.3,0),0.05)</f>
        <v>0</v>
      </c>
      <c r="M56" s="10">
        <f>CEILING(IF($M$35&lt;=G56,F56*0.3,0),0.05)</f>
        <v>0</v>
      </c>
    </row>
    <row r="57" spans="1:13" ht="12.75">
      <c r="A57" s="6">
        <v>21</v>
      </c>
      <c r="D57" s="2"/>
      <c r="E57" s="7"/>
      <c r="F57" s="8"/>
      <c r="G57" s="11"/>
      <c r="I57" s="10">
        <f>+CEILING(IF($I$35=E57,F57,IF($I$35&lt;=G57,F57*0.3,0)),0.05)</f>
        <v>0</v>
      </c>
      <c r="J57" s="10">
        <f>+CEILING(IF($J$35&lt;=G57,F57*0.3,0),0.05)</f>
        <v>0</v>
      </c>
      <c r="K57" s="10">
        <f>+CEILING(IF($K$35&lt;=G57,F57*0.3,0),0.05)</f>
        <v>0</v>
      </c>
      <c r="L57" s="10">
        <f>+CEILING(IF($L$35&lt;=G57,F57*0.3,0),0.05)</f>
        <v>0</v>
      </c>
      <c r="M57" s="10">
        <f>CEILING(IF($M$35&lt;=G57,F57*0.3,0),0.05)</f>
        <v>0</v>
      </c>
    </row>
    <row r="58" spans="9:13" ht="7.5" customHeight="1">
      <c r="I58" s="14"/>
      <c r="J58" s="14"/>
      <c r="K58" s="14"/>
      <c r="L58" s="14"/>
      <c r="M58" s="14"/>
    </row>
    <row r="59" spans="9:13" ht="12.75">
      <c r="I59" s="15">
        <f>+SUM(I37:I58)</f>
        <v>35.25000000000001</v>
      </c>
      <c r="J59" s="15">
        <f>+SUM(J37:J58)</f>
        <v>2.8500000000000005</v>
      </c>
      <c r="K59" s="15">
        <f>+SUM(K37:K58)</f>
        <v>0.8500000000000001</v>
      </c>
      <c r="L59" s="15">
        <f>+SUM(L37:L58)</f>
        <v>0</v>
      </c>
      <c r="M59" s="15">
        <f>+SUM(M37:M58)</f>
        <v>0</v>
      </c>
    </row>
    <row r="60" spans="9:13" ht="12.75">
      <c r="I60" s="16"/>
      <c r="J60" s="16"/>
      <c r="K60" s="16"/>
      <c r="L60" s="16"/>
      <c r="M60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B63" sqref="B63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529</v>
      </c>
      <c r="C5" s="30" t="s">
        <v>39</v>
      </c>
      <c r="D5" s="30" t="s">
        <v>81</v>
      </c>
      <c r="E5" s="32" t="s">
        <v>515</v>
      </c>
      <c r="F5" s="8">
        <v>6</v>
      </c>
      <c r="G5" s="9">
        <v>2020</v>
      </c>
      <c r="I5" s="10">
        <f aca="true" t="shared" si="0" ref="I5:M14">+IF($G5&gt;=I$3,$F5,0)</f>
        <v>6</v>
      </c>
      <c r="J5" s="10">
        <f t="shared" si="0"/>
        <v>6</v>
      </c>
      <c r="K5" s="10">
        <f t="shared" si="0"/>
        <v>6</v>
      </c>
      <c r="L5" s="10">
        <f t="shared" si="0"/>
        <v>6</v>
      </c>
      <c r="M5" s="10">
        <f t="shared" si="0"/>
        <v>6</v>
      </c>
    </row>
    <row r="6" spans="1:13" ht="12.75">
      <c r="A6" s="6">
        <v>2</v>
      </c>
      <c r="B6" s="31" t="s">
        <v>652</v>
      </c>
      <c r="C6" s="30" t="s">
        <v>43</v>
      </c>
      <c r="D6" s="30" t="s">
        <v>60</v>
      </c>
      <c r="E6" s="7" t="s">
        <v>557</v>
      </c>
      <c r="F6" s="12">
        <v>4.5</v>
      </c>
      <c r="G6" s="13">
        <v>2020</v>
      </c>
      <c r="I6" s="10">
        <f t="shared" si="0"/>
        <v>4.5</v>
      </c>
      <c r="J6" s="10">
        <f t="shared" si="0"/>
        <v>4.5</v>
      </c>
      <c r="K6" s="10">
        <f t="shared" si="0"/>
        <v>4.5</v>
      </c>
      <c r="L6" s="10">
        <f t="shared" si="0"/>
        <v>4.5</v>
      </c>
      <c r="M6" s="10">
        <f t="shared" si="0"/>
        <v>4.5</v>
      </c>
    </row>
    <row r="7" spans="1:13" ht="12.75">
      <c r="A7" s="6">
        <v>3</v>
      </c>
      <c r="B7" s="20" t="s">
        <v>645</v>
      </c>
      <c r="C7" s="2" t="s">
        <v>44</v>
      </c>
      <c r="D7" s="2" t="s">
        <v>531</v>
      </c>
      <c r="E7" s="7" t="s">
        <v>557</v>
      </c>
      <c r="F7" s="8">
        <v>4.2</v>
      </c>
      <c r="G7" s="9">
        <v>2020</v>
      </c>
      <c r="I7" s="10">
        <f t="shared" si="0"/>
        <v>4.2</v>
      </c>
      <c r="J7" s="10">
        <f t="shared" si="0"/>
        <v>4.2</v>
      </c>
      <c r="K7" s="10">
        <f t="shared" si="0"/>
        <v>4.2</v>
      </c>
      <c r="L7" s="10">
        <f t="shared" si="0"/>
        <v>4.2</v>
      </c>
      <c r="M7" s="10">
        <f t="shared" si="0"/>
        <v>4.2</v>
      </c>
    </row>
    <row r="8" spans="1:13" ht="12.75">
      <c r="A8" s="6">
        <v>4</v>
      </c>
      <c r="B8" s="31" t="s">
        <v>683</v>
      </c>
      <c r="C8" s="2" t="s">
        <v>40</v>
      </c>
      <c r="D8" s="30" t="s">
        <v>87</v>
      </c>
      <c r="E8" s="7" t="s">
        <v>557</v>
      </c>
      <c r="F8" s="8">
        <v>3</v>
      </c>
      <c r="G8" s="9">
        <v>2020</v>
      </c>
      <c r="I8" s="10">
        <f t="shared" si="0"/>
        <v>3</v>
      </c>
      <c r="J8" s="10">
        <f t="shared" si="0"/>
        <v>3</v>
      </c>
      <c r="K8" s="10">
        <f t="shared" si="0"/>
        <v>3</v>
      </c>
      <c r="L8" s="10">
        <f t="shared" si="0"/>
        <v>3</v>
      </c>
      <c r="M8" s="10">
        <f t="shared" si="0"/>
        <v>3</v>
      </c>
    </row>
    <row r="9" spans="1:13" ht="12.75">
      <c r="A9" s="6">
        <v>5</v>
      </c>
      <c r="B9" s="31" t="s">
        <v>385</v>
      </c>
      <c r="C9" s="30" t="s">
        <v>39</v>
      </c>
      <c r="D9" s="30" t="s">
        <v>73</v>
      </c>
      <c r="E9" s="32" t="s">
        <v>386</v>
      </c>
      <c r="F9" s="8">
        <v>18.85</v>
      </c>
      <c r="G9" s="9">
        <v>2019</v>
      </c>
      <c r="I9" s="10">
        <f t="shared" si="0"/>
        <v>18.85</v>
      </c>
      <c r="J9" s="10">
        <f t="shared" si="0"/>
        <v>18.85</v>
      </c>
      <c r="K9" s="10">
        <f t="shared" si="0"/>
        <v>18.85</v>
      </c>
      <c r="L9" s="10">
        <f t="shared" si="0"/>
        <v>18.85</v>
      </c>
      <c r="M9" s="10">
        <f t="shared" si="0"/>
        <v>0</v>
      </c>
    </row>
    <row r="10" spans="1:13" ht="12.75">
      <c r="A10" s="6">
        <v>6</v>
      </c>
      <c r="B10" s="31" t="s">
        <v>414</v>
      </c>
      <c r="C10" s="2" t="s">
        <v>39</v>
      </c>
      <c r="D10" s="2" t="s">
        <v>87</v>
      </c>
      <c r="E10" s="7" t="s">
        <v>386</v>
      </c>
      <c r="F10" s="8">
        <v>2.9</v>
      </c>
      <c r="G10" s="9">
        <v>2019</v>
      </c>
      <c r="I10" s="10">
        <f t="shared" si="0"/>
        <v>2.9</v>
      </c>
      <c r="J10" s="10">
        <f t="shared" si="0"/>
        <v>2.9</v>
      </c>
      <c r="K10" s="10">
        <f t="shared" si="0"/>
        <v>2.9</v>
      </c>
      <c r="L10" s="10">
        <f t="shared" si="0"/>
        <v>2.9</v>
      </c>
      <c r="M10" s="10">
        <f t="shared" si="0"/>
        <v>0</v>
      </c>
    </row>
    <row r="11" spans="1:13" ht="12.75">
      <c r="A11" s="6">
        <v>7</v>
      </c>
      <c r="B11" s="31" t="s">
        <v>452</v>
      </c>
      <c r="C11" s="2" t="s">
        <v>38</v>
      </c>
      <c r="D11" s="2" t="s">
        <v>78</v>
      </c>
      <c r="E11" s="7" t="s">
        <v>427</v>
      </c>
      <c r="F11" s="8">
        <v>59.9</v>
      </c>
      <c r="G11" s="9">
        <v>2018</v>
      </c>
      <c r="I11" s="10">
        <f t="shared" si="0"/>
        <v>59.9</v>
      </c>
      <c r="J11" s="10">
        <f t="shared" si="0"/>
        <v>59.9</v>
      </c>
      <c r="K11" s="10">
        <f t="shared" si="0"/>
        <v>59.9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646</v>
      </c>
      <c r="C12" s="2" t="s">
        <v>41</v>
      </c>
      <c r="D12" s="2" t="s">
        <v>86</v>
      </c>
      <c r="E12" s="7" t="s">
        <v>557</v>
      </c>
      <c r="F12" s="8">
        <v>9.95</v>
      </c>
      <c r="G12" s="9">
        <v>2018</v>
      </c>
      <c r="I12" s="10">
        <f t="shared" si="0"/>
        <v>9.95</v>
      </c>
      <c r="J12" s="10">
        <f t="shared" si="0"/>
        <v>9.95</v>
      </c>
      <c r="K12" s="10">
        <f t="shared" si="0"/>
        <v>9.95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331</v>
      </c>
      <c r="C13" s="2" t="s">
        <v>43</v>
      </c>
      <c r="D13" s="2" t="s">
        <v>62</v>
      </c>
      <c r="E13" s="7" t="s">
        <v>372</v>
      </c>
      <c r="F13" s="12">
        <v>7.9</v>
      </c>
      <c r="G13" s="13">
        <v>2018</v>
      </c>
      <c r="I13" s="10">
        <f t="shared" si="0"/>
        <v>7.9</v>
      </c>
      <c r="J13" s="10">
        <f t="shared" si="0"/>
        <v>7.9</v>
      </c>
      <c r="K13" s="10">
        <f t="shared" si="0"/>
        <v>7.9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345</v>
      </c>
      <c r="C14" s="2" t="s">
        <v>43</v>
      </c>
      <c r="D14" s="2" t="s">
        <v>85</v>
      </c>
      <c r="E14" s="7" t="s">
        <v>372</v>
      </c>
      <c r="F14" s="8">
        <v>7.25</v>
      </c>
      <c r="G14" s="9">
        <v>2018</v>
      </c>
      <c r="I14" s="10">
        <f t="shared" si="0"/>
        <v>7.25</v>
      </c>
      <c r="J14" s="10">
        <f t="shared" si="0"/>
        <v>7.25</v>
      </c>
      <c r="K14" s="10">
        <f t="shared" si="0"/>
        <v>7.25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653</v>
      </c>
      <c r="C15" s="2" t="s">
        <v>44</v>
      </c>
      <c r="D15" s="30" t="s">
        <v>114</v>
      </c>
      <c r="E15" s="7" t="s">
        <v>557</v>
      </c>
      <c r="F15" s="8">
        <v>6.5</v>
      </c>
      <c r="G15" s="9">
        <v>2018</v>
      </c>
      <c r="I15" s="10">
        <f aca="true" t="shared" si="1" ref="I15:M29">+IF($G15&gt;=I$3,$F15,0)</f>
        <v>6.5</v>
      </c>
      <c r="J15" s="10">
        <f t="shared" si="1"/>
        <v>6.5</v>
      </c>
      <c r="K15" s="10">
        <f t="shared" si="1"/>
        <v>6.5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293</v>
      </c>
      <c r="C16" s="2" t="s">
        <v>38</v>
      </c>
      <c r="D16" s="2" t="s">
        <v>85</v>
      </c>
      <c r="E16" s="7" t="s">
        <v>371</v>
      </c>
      <c r="F16" s="12">
        <v>6.2</v>
      </c>
      <c r="G16" s="13">
        <v>2018</v>
      </c>
      <c r="I16" s="10">
        <f t="shared" si="1"/>
        <v>6.2</v>
      </c>
      <c r="J16" s="10">
        <f t="shared" si="1"/>
        <v>6.2</v>
      </c>
      <c r="K16" s="10">
        <f t="shared" si="1"/>
        <v>6.2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366</v>
      </c>
      <c r="C17" s="2" t="s">
        <v>40</v>
      </c>
      <c r="D17" s="2" t="s">
        <v>114</v>
      </c>
      <c r="E17" s="7" t="s">
        <v>372</v>
      </c>
      <c r="F17" s="8">
        <v>4.8</v>
      </c>
      <c r="G17" s="11">
        <v>2018</v>
      </c>
      <c r="I17" s="10">
        <f t="shared" si="1"/>
        <v>4.8</v>
      </c>
      <c r="J17" s="10">
        <f t="shared" si="1"/>
        <v>4.8</v>
      </c>
      <c r="K17" s="10">
        <f t="shared" si="1"/>
        <v>4.8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635</v>
      </c>
      <c r="C18" s="2" t="s">
        <v>43</v>
      </c>
      <c r="D18" s="2" t="s">
        <v>69</v>
      </c>
      <c r="E18" s="7" t="s">
        <v>557</v>
      </c>
      <c r="F18" s="8">
        <v>4.8</v>
      </c>
      <c r="G18" s="11">
        <v>2018</v>
      </c>
      <c r="I18" s="10">
        <f t="shared" si="1"/>
        <v>4.8</v>
      </c>
      <c r="J18" s="10">
        <f t="shared" si="1"/>
        <v>4.8</v>
      </c>
      <c r="K18" s="10">
        <f t="shared" si="1"/>
        <v>4.8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432</v>
      </c>
      <c r="C19" s="2" t="s">
        <v>39</v>
      </c>
      <c r="D19" s="28" t="s">
        <v>70</v>
      </c>
      <c r="E19" s="7" t="s">
        <v>427</v>
      </c>
      <c r="F19" s="8">
        <v>29.75</v>
      </c>
      <c r="G19" s="9">
        <v>2017</v>
      </c>
      <c r="I19" s="10">
        <f t="shared" si="1"/>
        <v>29.75</v>
      </c>
      <c r="J19" s="10">
        <f t="shared" si="1"/>
        <v>29.75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01" t="s">
        <v>217</v>
      </c>
      <c r="C20" s="2" t="s">
        <v>41</v>
      </c>
      <c r="D20" s="30" t="s">
        <v>77</v>
      </c>
      <c r="E20" s="7" t="s">
        <v>373</v>
      </c>
      <c r="F20" s="8">
        <v>5.1</v>
      </c>
      <c r="G20" s="9">
        <v>2017</v>
      </c>
      <c r="I20" s="10">
        <f t="shared" si="1"/>
        <v>5.1</v>
      </c>
      <c r="J20" s="10">
        <f t="shared" si="1"/>
        <v>5.1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585</v>
      </c>
      <c r="C21" s="2" t="s">
        <v>40</v>
      </c>
      <c r="D21" s="2" t="s">
        <v>84</v>
      </c>
      <c r="E21" s="7" t="s">
        <v>557</v>
      </c>
      <c r="F21" s="8">
        <v>77.35</v>
      </c>
      <c r="G21" s="9">
        <v>2016</v>
      </c>
      <c r="I21" s="10">
        <f t="shared" si="1"/>
        <v>77.35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381</v>
      </c>
      <c r="C22" s="2" t="s">
        <v>38</v>
      </c>
      <c r="D22" s="2" t="s">
        <v>87</v>
      </c>
      <c r="E22" s="7" t="s">
        <v>372</v>
      </c>
      <c r="F22" s="8">
        <v>10.75</v>
      </c>
      <c r="G22" s="11">
        <v>2016</v>
      </c>
      <c r="I22" s="10">
        <f t="shared" si="1"/>
        <v>10.75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511</v>
      </c>
      <c r="C23" s="30" t="s">
        <v>42</v>
      </c>
      <c r="D23" s="30" t="s">
        <v>83</v>
      </c>
      <c r="E23" s="32" t="s">
        <v>507</v>
      </c>
      <c r="F23" s="8">
        <v>7.95</v>
      </c>
      <c r="G23" s="9">
        <v>2016</v>
      </c>
      <c r="I23" s="10">
        <f t="shared" si="1"/>
        <v>7.95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171</v>
      </c>
      <c r="C24" s="2" t="s">
        <v>40</v>
      </c>
      <c r="D24" s="2" t="s">
        <v>61</v>
      </c>
      <c r="E24" s="7" t="s">
        <v>56</v>
      </c>
      <c r="F24" s="8">
        <v>7.2</v>
      </c>
      <c r="G24" s="9">
        <v>2016</v>
      </c>
      <c r="I24" s="10">
        <f t="shared" si="1"/>
        <v>7.2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271</v>
      </c>
      <c r="C25" s="2" t="s">
        <v>43</v>
      </c>
      <c r="D25" s="2" t="s">
        <v>77</v>
      </c>
      <c r="E25" s="7" t="s">
        <v>56</v>
      </c>
      <c r="F25" s="12">
        <v>4.75</v>
      </c>
      <c r="G25" s="13">
        <v>2016</v>
      </c>
      <c r="I25" s="10">
        <f t="shared" si="1"/>
        <v>4.75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803</v>
      </c>
      <c r="C26" s="2" t="s">
        <v>43</v>
      </c>
      <c r="D26" s="2" t="s">
        <v>84</v>
      </c>
      <c r="E26" s="7" t="s">
        <v>691</v>
      </c>
      <c r="F26" s="8">
        <v>3</v>
      </c>
      <c r="G26" s="9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804</v>
      </c>
      <c r="C27" s="30" t="s">
        <v>41</v>
      </c>
      <c r="D27" s="30" t="s">
        <v>71</v>
      </c>
      <c r="E27" s="32" t="s">
        <v>691</v>
      </c>
      <c r="F27" s="8">
        <v>3</v>
      </c>
      <c r="G27" s="9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21" t="s">
        <v>235</v>
      </c>
      <c r="C28" s="23" t="s">
        <v>43</v>
      </c>
      <c r="D28" s="2" t="s">
        <v>80</v>
      </c>
      <c r="E28" s="7" t="s">
        <v>691</v>
      </c>
      <c r="F28" s="8">
        <v>3</v>
      </c>
      <c r="G28" s="9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802</v>
      </c>
      <c r="C29" s="2" t="s">
        <v>44</v>
      </c>
      <c r="D29" s="30" t="s">
        <v>59</v>
      </c>
      <c r="E29" s="7" t="s">
        <v>691</v>
      </c>
      <c r="F29" s="8">
        <v>3</v>
      </c>
      <c r="G29" s="9">
        <v>2016</v>
      </c>
      <c r="I29" s="10">
        <f t="shared" si="1"/>
        <v>3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1"/>
      <c r="C31" s="23"/>
      <c r="D31" s="21"/>
      <c r="E31" s="21"/>
      <c r="F31" s="21"/>
      <c r="G31" s="21"/>
      <c r="I31" s="15">
        <f>+SUM(I5:I29)</f>
        <v>301.59999999999997</v>
      </c>
      <c r="J31" s="15">
        <f>+SUM(J5:J29)</f>
        <v>181.6</v>
      </c>
      <c r="K31" s="15">
        <f>+SUM(K5:K29)</f>
        <v>146.75</v>
      </c>
      <c r="L31" s="15">
        <f>+SUM(L5:L29)</f>
        <v>39.449999999999996</v>
      </c>
      <c r="M31" s="15">
        <f>+SUM(M5:M29)</f>
        <v>17.7</v>
      </c>
    </row>
    <row r="33" spans="1:13" ht="16.5" customHeight="1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387</v>
      </c>
      <c r="C37" s="2" t="s">
        <v>40</v>
      </c>
      <c r="D37" s="2" t="s">
        <v>64</v>
      </c>
      <c r="E37" s="7">
        <v>2016</v>
      </c>
      <c r="F37" s="8">
        <v>2.9</v>
      </c>
      <c r="G37" s="9">
        <v>2019</v>
      </c>
      <c r="I37" s="10">
        <f aca="true" t="shared" si="2" ref="I37:I54">+CEILING(IF($I$35=E37,F37,IF($I$35&lt;=G37,F37*0.3,0)),0.05)</f>
        <v>2.9000000000000004</v>
      </c>
      <c r="J37" s="10">
        <f aca="true" t="shared" si="3" ref="J37:J54">+CEILING(IF($J$35&lt;=G37,F37*0.3,0),0.05)</f>
        <v>0.9</v>
      </c>
      <c r="K37" s="10">
        <f aca="true" t="shared" si="4" ref="K37:K54">+CEILING(IF($K$35&lt;=G37,F37*0.3,0),0.05)</f>
        <v>0.9</v>
      </c>
      <c r="L37" s="10">
        <f aca="true" t="shared" si="5" ref="L37:L54">+CEILING(IF($L$35&lt;=G37,F37*0.3,0),0.05)</f>
        <v>0.9</v>
      </c>
      <c r="M37" s="10">
        <f aca="true" t="shared" si="6" ref="M37:M54">CEILING(IF($M$35&lt;=G37,F37*0.3,0),0.05)</f>
        <v>0</v>
      </c>
    </row>
    <row r="38" spans="1:13" ht="12.75">
      <c r="A38" s="6">
        <v>2</v>
      </c>
      <c r="B38" s="21" t="s">
        <v>367</v>
      </c>
      <c r="C38" s="23" t="s">
        <v>40</v>
      </c>
      <c r="D38" s="2" t="s">
        <v>69</v>
      </c>
      <c r="E38" s="7">
        <v>2015</v>
      </c>
      <c r="F38" s="8">
        <v>7.55</v>
      </c>
      <c r="G38" s="9">
        <v>2018</v>
      </c>
      <c r="I38" s="10">
        <f t="shared" si="2"/>
        <v>2.3000000000000003</v>
      </c>
      <c r="J38" s="10">
        <f t="shared" si="3"/>
        <v>2.3000000000000003</v>
      </c>
      <c r="K38" s="10">
        <f t="shared" si="4"/>
        <v>2.3000000000000003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379</v>
      </c>
      <c r="C39" s="2" t="s">
        <v>39</v>
      </c>
      <c r="D39" s="2" t="s">
        <v>57</v>
      </c>
      <c r="E39" s="7">
        <v>2015</v>
      </c>
      <c r="F39" s="8">
        <v>3.25</v>
      </c>
      <c r="G39" s="11">
        <v>2018</v>
      </c>
      <c r="I39" s="10">
        <f t="shared" si="2"/>
        <v>1</v>
      </c>
      <c r="J39" s="10">
        <f t="shared" si="3"/>
        <v>1</v>
      </c>
      <c r="K39" s="10">
        <f t="shared" si="4"/>
        <v>1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20" t="s">
        <v>350</v>
      </c>
      <c r="C40" s="2" t="s">
        <v>41</v>
      </c>
      <c r="D40" s="2" t="s">
        <v>71</v>
      </c>
      <c r="E40" s="7">
        <v>2015</v>
      </c>
      <c r="F40" s="8">
        <v>2.75</v>
      </c>
      <c r="G40" s="9">
        <v>2018</v>
      </c>
      <c r="I40" s="10">
        <f t="shared" si="2"/>
        <v>0.8500000000000001</v>
      </c>
      <c r="J40" s="10">
        <f t="shared" si="3"/>
        <v>0.8500000000000001</v>
      </c>
      <c r="K40" s="10">
        <f t="shared" si="4"/>
        <v>0.8500000000000001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376</v>
      </c>
      <c r="C41" s="30" t="s">
        <v>39</v>
      </c>
      <c r="D41" s="30" t="s">
        <v>83</v>
      </c>
      <c r="E41" s="7">
        <v>2016</v>
      </c>
      <c r="F41" s="8">
        <v>2.75</v>
      </c>
      <c r="G41" s="9">
        <v>2018</v>
      </c>
      <c r="I41" s="10">
        <f t="shared" si="2"/>
        <v>2.75</v>
      </c>
      <c r="J41" s="10">
        <f t="shared" si="3"/>
        <v>0.8500000000000001</v>
      </c>
      <c r="K41" s="10">
        <f t="shared" si="4"/>
        <v>0.8500000000000001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351</v>
      </c>
      <c r="C42" s="2" t="s">
        <v>40</v>
      </c>
      <c r="D42" s="2" t="s">
        <v>85</v>
      </c>
      <c r="E42" s="7">
        <v>2015</v>
      </c>
      <c r="F42" s="8">
        <v>38.5</v>
      </c>
      <c r="G42" s="9">
        <v>2017</v>
      </c>
      <c r="I42" s="10">
        <f t="shared" si="2"/>
        <v>11.55</v>
      </c>
      <c r="J42" s="10">
        <f t="shared" si="3"/>
        <v>11.55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264</v>
      </c>
      <c r="C43" s="30" t="s">
        <v>40</v>
      </c>
      <c r="D43" s="30" t="s">
        <v>89</v>
      </c>
      <c r="E43" s="32">
        <v>2014</v>
      </c>
      <c r="F43" s="8">
        <v>7.75</v>
      </c>
      <c r="G43" s="9">
        <v>2017</v>
      </c>
      <c r="I43" s="10">
        <f t="shared" si="2"/>
        <v>2.35</v>
      </c>
      <c r="J43" s="10">
        <f t="shared" si="3"/>
        <v>2.35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458</v>
      </c>
      <c r="C44" s="30" t="s">
        <v>43</v>
      </c>
      <c r="D44" s="30" t="s">
        <v>88</v>
      </c>
      <c r="E44" s="7">
        <v>2015</v>
      </c>
      <c r="F44" s="12">
        <v>4.25</v>
      </c>
      <c r="G44" s="13">
        <v>2017</v>
      </c>
      <c r="I44" s="10">
        <f t="shared" si="2"/>
        <v>1.3</v>
      </c>
      <c r="J44" s="10">
        <f t="shared" si="3"/>
        <v>1.3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259</v>
      </c>
      <c r="C45" s="2" t="s">
        <v>40</v>
      </c>
      <c r="D45" s="2" t="s">
        <v>58</v>
      </c>
      <c r="E45" s="7">
        <v>2014</v>
      </c>
      <c r="F45" s="8">
        <v>2.55</v>
      </c>
      <c r="G45" s="9">
        <v>2017</v>
      </c>
      <c r="I45" s="10">
        <f t="shared" si="2"/>
        <v>0.8</v>
      </c>
      <c r="J45" s="10">
        <f t="shared" si="3"/>
        <v>0.8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218</v>
      </c>
      <c r="C46" s="2" t="s">
        <v>39</v>
      </c>
      <c r="D46" s="2" t="s">
        <v>71</v>
      </c>
      <c r="E46" s="7">
        <v>2014</v>
      </c>
      <c r="F46" s="8">
        <v>2.55</v>
      </c>
      <c r="G46" s="9">
        <v>2017</v>
      </c>
      <c r="I46" s="10">
        <f t="shared" si="2"/>
        <v>0.8</v>
      </c>
      <c r="J46" s="10">
        <f t="shared" si="3"/>
        <v>0.8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 t="s">
        <v>480</v>
      </c>
      <c r="C47" s="30" t="s">
        <v>39</v>
      </c>
      <c r="D47" s="30" t="s">
        <v>73</v>
      </c>
      <c r="E47" s="30">
        <v>2016</v>
      </c>
      <c r="F47" s="8">
        <v>14.75</v>
      </c>
      <c r="G47" s="9">
        <v>2016</v>
      </c>
      <c r="I47" s="10">
        <f t="shared" si="2"/>
        <v>14.75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21" t="s">
        <v>590</v>
      </c>
      <c r="C48" s="23" t="s">
        <v>43</v>
      </c>
      <c r="D48" s="2" t="s">
        <v>78</v>
      </c>
      <c r="E48" s="7">
        <v>2016</v>
      </c>
      <c r="F48" s="8">
        <v>8.25</v>
      </c>
      <c r="G48" s="9">
        <v>2016</v>
      </c>
      <c r="I48" s="10">
        <f t="shared" si="2"/>
        <v>8.25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1" t="s">
        <v>127</v>
      </c>
      <c r="C49" s="30" t="s">
        <v>39</v>
      </c>
      <c r="D49" s="30" t="s">
        <v>84</v>
      </c>
      <c r="E49" s="32">
        <v>2016</v>
      </c>
      <c r="F49" s="8">
        <v>5.3</v>
      </c>
      <c r="G49" s="9">
        <v>2016</v>
      </c>
      <c r="I49" s="10">
        <f t="shared" si="2"/>
        <v>5.300000000000001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1" t="s">
        <v>492</v>
      </c>
      <c r="C50" s="30" t="s">
        <v>43</v>
      </c>
      <c r="D50" s="30" t="s">
        <v>85</v>
      </c>
      <c r="E50" s="32">
        <v>2016</v>
      </c>
      <c r="F50" s="8">
        <v>3</v>
      </c>
      <c r="G50" s="9">
        <v>2016</v>
      </c>
      <c r="I50" s="10">
        <f t="shared" si="2"/>
        <v>3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21" t="s">
        <v>353</v>
      </c>
      <c r="C51" s="23" t="s">
        <v>39</v>
      </c>
      <c r="D51" s="2" t="s">
        <v>85</v>
      </c>
      <c r="E51" s="7">
        <v>2016</v>
      </c>
      <c r="F51" s="8">
        <v>3</v>
      </c>
      <c r="G51" s="9">
        <v>2016</v>
      </c>
      <c r="I51" s="10">
        <f t="shared" si="2"/>
        <v>3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B52" s="31" t="s">
        <v>740</v>
      </c>
      <c r="C52" s="2" t="s">
        <v>43</v>
      </c>
      <c r="D52" s="30" t="s">
        <v>702</v>
      </c>
      <c r="E52" s="7">
        <v>2016</v>
      </c>
      <c r="F52" s="8">
        <v>3</v>
      </c>
      <c r="G52" s="9">
        <v>2016</v>
      </c>
      <c r="I52" s="10">
        <f t="shared" si="2"/>
        <v>3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.75">
      <c r="A53" s="6">
        <v>17</v>
      </c>
      <c r="B53" s="21" t="s">
        <v>435</v>
      </c>
      <c r="C53" s="23" t="s">
        <v>42</v>
      </c>
      <c r="D53" s="2" t="s">
        <v>88</v>
      </c>
      <c r="E53" s="7">
        <v>2016</v>
      </c>
      <c r="F53" s="8">
        <v>3</v>
      </c>
      <c r="G53" s="9">
        <v>2016</v>
      </c>
      <c r="I53" s="10">
        <f t="shared" si="2"/>
        <v>3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.75">
      <c r="A54" s="6">
        <v>18</v>
      </c>
      <c r="B54" s="31" t="s">
        <v>779</v>
      </c>
      <c r="C54" s="2" t="s">
        <v>43</v>
      </c>
      <c r="D54" s="2" t="s">
        <v>61</v>
      </c>
      <c r="E54" s="7">
        <v>2016</v>
      </c>
      <c r="F54" s="8">
        <v>3</v>
      </c>
      <c r="G54" s="9">
        <v>2016</v>
      </c>
      <c r="I54" s="10">
        <f t="shared" si="2"/>
        <v>3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.75">
      <c r="A55" s="6">
        <v>19</v>
      </c>
      <c r="B55" s="20" t="s">
        <v>795</v>
      </c>
      <c r="C55" s="2" t="s">
        <v>44</v>
      </c>
      <c r="D55" s="2" t="s">
        <v>65</v>
      </c>
      <c r="E55" s="7">
        <v>2016</v>
      </c>
      <c r="F55" s="8">
        <v>3</v>
      </c>
      <c r="G55" s="9">
        <v>2016</v>
      </c>
      <c r="I55" s="10">
        <f aca="true" t="shared" si="7" ref="I55:I62">+CEILING(IF($I$35=E55,F55,IF($I$35&lt;=G55,F55*0.3,0)),0.05)</f>
        <v>3</v>
      </c>
      <c r="J55" s="10">
        <f aca="true" t="shared" si="8" ref="J55:J62">+CEILING(IF($J$35&lt;=G55,F55*0.3,0),0.05)</f>
        <v>0</v>
      </c>
      <c r="K55" s="10">
        <f aca="true" t="shared" si="9" ref="K55:K62">+CEILING(IF($K$35&lt;=G55,F55*0.3,0),0.05)</f>
        <v>0</v>
      </c>
      <c r="L55" s="10">
        <f aca="true" t="shared" si="10" ref="L55:L62">+CEILING(IF($L$35&lt;=G55,F55*0.3,0),0.05)</f>
        <v>0</v>
      </c>
      <c r="M55" s="10">
        <f aca="true" t="shared" si="11" ref="M55:M62">CEILING(IF($M$35&lt;=G55,F55*0.3,0),0.05)</f>
        <v>0</v>
      </c>
    </row>
    <row r="56" spans="1:13" ht="12.75">
      <c r="A56" s="6">
        <v>20</v>
      </c>
      <c r="B56" s="31" t="s">
        <v>797</v>
      </c>
      <c r="C56" s="2" t="s">
        <v>44</v>
      </c>
      <c r="D56" s="30" t="s">
        <v>69</v>
      </c>
      <c r="E56" s="7">
        <v>2016</v>
      </c>
      <c r="F56" s="8">
        <v>3</v>
      </c>
      <c r="G56" s="9">
        <v>2016</v>
      </c>
      <c r="I56" s="10">
        <f t="shared" si="7"/>
        <v>3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B57" s="31" t="s">
        <v>798</v>
      </c>
      <c r="C57" s="2" t="s">
        <v>40</v>
      </c>
      <c r="D57" s="2" t="s">
        <v>55</v>
      </c>
      <c r="E57" s="7">
        <v>2016</v>
      </c>
      <c r="F57" s="12">
        <v>3</v>
      </c>
      <c r="G57" s="13">
        <v>2016</v>
      </c>
      <c r="I57" s="10">
        <f t="shared" si="7"/>
        <v>3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.75">
      <c r="A58" s="6">
        <v>22</v>
      </c>
      <c r="B58" s="31" t="s">
        <v>799</v>
      </c>
      <c r="C58" s="2" t="s">
        <v>40</v>
      </c>
      <c r="D58" s="2" t="s">
        <v>81</v>
      </c>
      <c r="E58" s="7">
        <v>2016</v>
      </c>
      <c r="F58" s="8">
        <v>3</v>
      </c>
      <c r="G58" s="9">
        <v>2016</v>
      </c>
      <c r="I58" s="10">
        <f t="shared" si="7"/>
        <v>3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.75">
      <c r="A59" s="6">
        <v>23</v>
      </c>
      <c r="B59" s="1" t="s">
        <v>800</v>
      </c>
      <c r="C59" s="2" t="s">
        <v>39</v>
      </c>
      <c r="D59" s="2" t="s">
        <v>702</v>
      </c>
      <c r="E59" s="7">
        <v>2016</v>
      </c>
      <c r="F59" s="8">
        <v>3</v>
      </c>
      <c r="G59" s="9">
        <v>2016</v>
      </c>
      <c r="I59" s="10">
        <f t="shared" si="7"/>
        <v>3</v>
      </c>
      <c r="J59" s="10">
        <f t="shared" si="8"/>
        <v>0</v>
      </c>
      <c r="K59" s="10">
        <f t="shared" si="9"/>
        <v>0</v>
      </c>
      <c r="L59" s="10">
        <f t="shared" si="10"/>
        <v>0</v>
      </c>
      <c r="M59" s="10">
        <f t="shared" si="11"/>
        <v>0</v>
      </c>
    </row>
    <row r="60" spans="1:13" ht="12.75">
      <c r="A60" s="6">
        <v>24</v>
      </c>
      <c r="B60" s="1" t="s">
        <v>801</v>
      </c>
      <c r="C60" s="2" t="s">
        <v>39</v>
      </c>
      <c r="D60" s="2" t="s">
        <v>69</v>
      </c>
      <c r="E60" s="7">
        <v>2016</v>
      </c>
      <c r="F60" s="8">
        <v>3</v>
      </c>
      <c r="G60" s="9">
        <v>2016</v>
      </c>
      <c r="I60" s="10">
        <f t="shared" si="7"/>
        <v>3</v>
      </c>
      <c r="J60" s="10">
        <f t="shared" si="8"/>
        <v>0</v>
      </c>
      <c r="K60" s="10">
        <f t="shared" si="9"/>
        <v>0</v>
      </c>
      <c r="L60" s="10">
        <f t="shared" si="10"/>
        <v>0</v>
      </c>
      <c r="M60" s="10">
        <f t="shared" si="11"/>
        <v>0</v>
      </c>
    </row>
    <row r="61" spans="1:13" ht="12.75">
      <c r="A61" s="6">
        <v>25</v>
      </c>
      <c r="B61" s="1" t="s">
        <v>311</v>
      </c>
      <c r="C61" s="2" t="s">
        <v>41</v>
      </c>
      <c r="D61" s="2" t="s">
        <v>87</v>
      </c>
      <c r="E61" s="7">
        <v>2016</v>
      </c>
      <c r="F61" s="8">
        <v>3</v>
      </c>
      <c r="G61" s="9">
        <v>2016</v>
      </c>
      <c r="I61" s="10">
        <f t="shared" si="7"/>
        <v>3</v>
      </c>
      <c r="J61" s="10">
        <f t="shared" si="8"/>
        <v>0</v>
      </c>
      <c r="K61" s="10">
        <f t="shared" si="9"/>
        <v>0</v>
      </c>
      <c r="L61" s="10">
        <f t="shared" si="10"/>
        <v>0</v>
      </c>
      <c r="M61" s="10">
        <f t="shared" si="11"/>
        <v>0</v>
      </c>
    </row>
    <row r="62" spans="1:13" ht="12.75">
      <c r="A62" s="6">
        <v>26</v>
      </c>
      <c r="B62" s="31" t="s">
        <v>796</v>
      </c>
      <c r="C62" s="2" t="s">
        <v>44</v>
      </c>
      <c r="D62" s="30" t="s">
        <v>76</v>
      </c>
      <c r="E62" s="7">
        <v>2016</v>
      </c>
      <c r="F62" s="8">
        <v>3</v>
      </c>
      <c r="G62" s="9">
        <v>2016</v>
      </c>
      <c r="I62" s="10">
        <f t="shared" si="7"/>
        <v>3</v>
      </c>
      <c r="J62" s="10">
        <f t="shared" si="8"/>
        <v>0</v>
      </c>
      <c r="K62" s="10">
        <f t="shared" si="9"/>
        <v>0</v>
      </c>
      <c r="L62" s="10">
        <f t="shared" si="10"/>
        <v>0</v>
      </c>
      <c r="M62" s="10">
        <f t="shared" si="11"/>
        <v>0</v>
      </c>
    </row>
    <row r="63" spans="1:13" ht="12.75">
      <c r="A63" s="6">
        <v>27</v>
      </c>
      <c r="B63" s="31" t="s">
        <v>153</v>
      </c>
      <c r="C63" s="30" t="s">
        <v>39</v>
      </c>
      <c r="D63" s="30" t="s">
        <v>61</v>
      </c>
      <c r="E63" s="30">
        <v>2014</v>
      </c>
      <c r="F63" s="8">
        <v>2.35</v>
      </c>
      <c r="G63" s="9">
        <v>2016</v>
      </c>
      <c r="I63" s="10">
        <f>+CEILING(IF($I$35=E63,F63,IF($I$35&lt;=G63,F63*0.3,0)),0.05)</f>
        <v>0.75</v>
      </c>
      <c r="J63" s="10">
        <f>+CEILING(IF($J$35&lt;=G63,F63*0.3,0),0.05)</f>
        <v>0</v>
      </c>
      <c r="K63" s="10">
        <f>+CEILING(IF($K$35&lt;=G63,F63*0.3,0),0.05)</f>
        <v>0</v>
      </c>
      <c r="L63" s="10">
        <f>+CEILING(IF($L$35&lt;=G63,F63*0.3,0),0.05)</f>
        <v>0</v>
      </c>
      <c r="M63" s="10">
        <f>CEILING(IF($M$35&lt;=G63,F63*0.3,0),0.05)</f>
        <v>0</v>
      </c>
    </row>
    <row r="64" spans="9:13" ht="7.5" customHeight="1">
      <c r="I64" s="14"/>
      <c r="J64" s="14"/>
      <c r="K64" s="14"/>
      <c r="L64" s="14"/>
      <c r="M64" s="14"/>
    </row>
    <row r="65" spans="9:13" ht="12.75">
      <c r="I65" s="15">
        <f>+SUM(I37:I64)</f>
        <v>94.65</v>
      </c>
      <c r="J65" s="15">
        <f>+SUM(J37:J64)</f>
        <v>22.700000000000006</v>
      </c>
      <c r="K65" s="15">
        <f>+SUM(K37:K64)</f>
        <v>5.9</v>
      </c>
      <c r="L65" s="15">
        <f>+SUM(L37:L64)</f>
        <v>0.9</v>
      </c>
      <c r="M65" s="15">
        <f>+SUM(M37:M64)</f>
        <v>0</v>
      </c>
    </row>
    <row r="66" spans="9:13" ht="12.75">
      <c r="I66" s="16"/>
      <c r="J66" s="16"/>
      <c r="K66" s="16"/>
      <c r="L66" s="16"/>
      <c r="M66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2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545</v>
      </c>
      <c r="C5" s="30" t="s">
        <v>38</v>
      </c>
      <c r="D5" s="30" t="s">
        <v>76</v>
      </c>
      <c r="E5" s="32" t="s">
        <v>515</v>
      </c>
      <c r="F5" s="12">
        <v>3</v>
      </c>
      <c r="G5" s="13">
        <v>2020</v>
      </c>
      <c r="I5" s="10">
        <f aca="true" t="shared" si="0" ref="I5:M14">+IF($G5&gt;=I$3,$F5,0)</f>
        <v>3</v>
      </c>
      <c r="J5" s="10">
        <f t="shared" si="0"/>
        <v>3</v>
      </c>
      <c r="K5" s="10">
        <f t="shared" si="0"/>
        <v>3</v>
      </c>
      <c r="L5" s="10">
        <f t="shared" si="0"/>
        <v>3</v>
      </c>
      <c r="M5" s="10">
        <f t="shared" si="0"/>
        <v>3</v>
      </c>
    </row>
    <row r="6" spans="1:13" ht="12.75">
      <c r="A6" s="6">
        <v>2</v>
      </c>
      <c r="B6" s="31" t="s">
        <v>550</v>
      </c>
      <c r="C6" s="2" t="s">
        <v>43</v>
      </c>
      <c r="D6" s="2" t="s">
        <v>81</v>
      </c>
      <c r="E6" s="32" t="s">
        <v>515</v>
      </c>
      <c r="F6" s="8">
        <v>3</v>
      </c>
      <c r="G6" s="9">
        <v>2020</v>
      </c>
      <c r="I6" s="10">
        <f t="shared" si="0"/>
        <v>3</v>
      </c>
      <c r="J6" s="10">
        <f t="shared" si="0"/>
        <v>3</v>
      </c>
      <c r="K6" s="10">
        <f t="shared" si="0"/>
        <v>3</v>
      </c>
      <c r="L6" s="10">
        <f t="shared" si="0"/>
        <v>3</v>
      </c>
      <c r="M6" s="10">
        <f t="shared" si="0"/>
        <v>3</v>
      </c>
    </row>
    <row r="7" spans="1:13" ht="12.75">
      <c r="A7" s="6">
        <v>3</v>
      </c>
      <c r="B7" s="1" t="s">
        <v>641</v>
      </c>
      <c r="C7" s="2" t="s">
        <v>42</v>
      </c>
      <c r="D7" s="2" t="s">
        <v>65</v>
      </c>
      <c r="E7" s="32" t="s">
        <v>557</v>
      </c>
      <c r="F7" s="8">
        <v>3</v>
      </c>
      <c r="G7" s="9">
        <v>2020</v>
      </c>
      <c r="I7" s="10">
        <f t="shared" si="0"/>
        <v>3</v>
      </c>
      <c r="J7" s="10">
        <f t="shared" si="0"/>
        <v>3</v>
      </c>
      <c r="K7" s="10">
        <f t="shared" si="0"/>
        <v>3</v>
      </c>
      <c r="L7" s="10">
        <f t="shared" si="0"/>
        <v>3</v>
      </c>
      <c r="M7" s="10">
        <f t="shared" si="0"/>
        <v>3</v>
      </c>
    </row>
    <row r="8" spans="1:13" ht="12.75">
      <c r="A8" s="6">
        <v>4</v>
      </c>
      <c r="B8" s="31" t="s">
        <v>677</v>
      </c>
      <c r="C8" s="2" t="s">
        <v>40</v>
      </c>
      <c r="D8" s="2" t="s">
        <v>531</v>
      </c>
      <c r="E8" s="32" t="s">
        <v>557</v>
      </c>
      <c r="F8" s="8">
        <v>3</v>
      </c>
      <c r="G8" s="9">
        <v>2020</v>
      </c>
      <c r="I8" s="10">
        <f t="shared" si="0"/>
        <v>3</v>
      </c>
      <c r="J8" s="10">
        <f t="shared" si="0"/>
        <v>3</v>
      </c>
      <c r="K8" s="10">
        <f t="shared" si="0"/>
        <v>3</v>
      </c>
      <c r="L8" s="10">
        <f t="shared" si="0"/>
        <v>3</v>
      </c>
      <c r="M8" s="10">
        <f t="shared" si="0"/>
        <v>3</v>
      </c>
    </row>
    <row r="9" spans="1:13" ht="12.75">
      <c r="A9" s="6">
        <v>5</v>
      </c>
      <c r="B9" s="31" t="s">
        <v>397</v>
      </c>
      <c r="C9" s="2" t="s">
        <v>39</v>
      </c>
      <c r="D9" s="2" t="s">
        <v>72</v>
      </c>
      <c r="E9" s="32" t="s">
        <v>386</v>
      </c>
      <c r="F9" s="8">
        <v>14.5</v>
      </c>
      <c r="G9" s="9">
        <v>2019</v>
      </c>
      <c r="I9" s="10">
        <f t="shared" si="0"/>
        <v>14.5</v>
      </c>
      <c r="J9" s="10">
        <f t="shared" si="0"/>
        <v>14.5</v>
      </c>
      <c r="K9" s="10">
        <f t="shared" si="0"/>
        <v>14.5</v>
      </c>
      <c r="L9" s="10">
        <f t="shared" si="0"/>
        <v>14.5</v>
      </c>
      <c r="M9" s="10">
        <f t="shared" si="0"/>
        <v>0</v>
      </c>
    </row>
    <row r="10" spans="1:13" ht="12.75">
      <c r="A10" s="6">
        <v>6</v>
      </c>
      <c r="B10" s="31" t="s">
        <v>398</v>
      </c>
      <c r="C10" s="30" t="s">
        <v>43</v>
      </c>
      <c r="D10" s="30" t="s">
        <v>65</v>
      </c>
      <c r="E10" s="32" t="s">
        <v>386</v>
      </c>
      <c r="F10" s="12">
        <v>2.9</v>
      </c>
      <c r="G10" s="13">
        <v>2019</v>
      </c>
      <c r="I10" s="10">
        <f t="shared" si="0"/>
        <v>2.9</v>
      </c>
      <c r="J10" s="10">
        <f t="shared" si="0"/>
        <v>2.9</v>
      </c>
      <c r="K10" s="10">
        <f t="shared" si="0"/>
        <v>2.9</v>
      </c>
      <c r="L10" s="10">
        <f t="shared" si="0"/>
        <v>2.9</v>
      </c>
      <c r="M10" s="10">
        <f t="shared" si="0"/>
        <v>0</v>
      </c>
    </row>
    <row r="11" spans="1:13" ht="12.75">
      <c r="A11" s="6">
        <v>7</v>
      </c>
      <c r="B11" s="31" t="s">
        <v>478</v>
      </c>
      <c r="C11" s="2" t="s">
        <v>39</v>
      </c>
      <c r="D11" s="2" t="s">
        <v>79</v>
      </c>
      <c r="E11" s="32" t="s">
        <v>427</v>
      </c>
      <c r="F11" s="8">
        <v>2.9</v>
      </c>
      <c r="G11" s="11">
        <v>2019</v>
      </c>
      <c r="I11" s="10">
        <f t="shared" si="0"/>
        <v>2.9</v>
      </c>
      <c r="J11" s="10">
        <f t="shared" si="0"/>
        <v>2.9</v>
      </c>
      <c r="K11" s="10">
        <f t="shared" si="0"/>
        <v>2.9</v>
      </c>
      <c r="L11" s="10">
        <f t="shared" si="0"/>
        <v>2.9</v>
      </c>
      <c r="M11" s="10">
        <f t="shared" si="0"/>
        <v>0</v>
      </c>
    </row>
    <row r="12" spans="1:13" ht="12.75">
      <c r="A12" s="6">
        <v>8</v>
      </c>
      <c r="B12" s="31" t="s">
        <v>642</v>
      </c>
      <c r="C12" s="2" t="s">
        <v>41</v>
      </c>
      <c r="D12" s="2" t="s">
        <v>81</v>
      </c>
      <c r="E12" s="32" t="s">
        <v>557</v>
      </c>
      <c r="F12" s="8">
        <v>15.25</v>
      </c>
      <c r="G12" s="11">
        <v>2018</v>
      </c>
      <c r="I12" s="10">
        <f t="shared" si="0"/>
        <v>15.25</v>
      </c>
      <c r="J12" s="10">
        <f t="shared" si="0"/>
        <v>15.25</v>
      </c>
      <c r="K12" s="10">
        <f t="shared" si="0"/>
        <v>15.25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370</v>
      </c>
      <c r="C13" s="2" t="s">
        <v>44</v>
      </c>
      <c r="D13" s="2" t="s">
        <v>88</v>
      </c>
      <c r="E13" s="32" t="s">
        <v>372</v>
      </c>
      <c r="F13" s="8">
        <v>5.45</v>
      </c>
      <c r="G13" s="9">
        <v>2018</v>
      </c>
      <c r="I13" s="10">
        <f t="shared" si="0"/>
        <v>5.45</v>
      </c>
      <c r="J13" s="10">
        <f t="shared" si="0"/>
        <v>5.45</v>
      </c>
      <c r="K13" s="10">
        <f t="shared" si="0"/>
        <v>5.45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161</v>
      </c>
      <c r="C14" s="2" t="s">
        <v>42</v>
      </c>
      <c r="D14" s="2" t="s">
        <v>77</v>
      </c>
      <c r="E14" s="32" t="s">
        <v>372</v>
      </c>
      <c r="F14" s="8">
        <v>2.75</v>
      </c>
      <c r="G14" s="9">
        <v>2018</v>
      </c>
      <c r="I14" s="10">
        <f t="shared" si="0"/>
        <v>2.75</v>
      </c>
      <c r="J14" s="10">
        <f t="shared" si="0"/>
        <v>2.75</v>
      </c>
      <c r="K14" s="10">
        <f t="shared" si="0"/>
        <v>2.75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572</v>
      </c>
      <c r="C15" s="2" t="s">
        <v>40</v>
      </c>
      <c r="D15" s="2" t="s">
        <v>59</v>
      </c>
      <c r="E15" s="32" t="s">
        <v>557</v>
      </c>
      <c r="F15" s="8">
        <v>82.35</v>
      </c>
      <c r="G15" s="9">
        <v>2017</v>
      </c>
      <c r="I15" s="10">
        <f aca="true" t="shared" si="1" ref="I15:M29">+IF($G15&gt;=I$3,$F15,0)</f>
        <v>82.35</v>
      </c>
      <c r="J15" s="10">
        <f t="shared" si="1"/>
        <v>82.35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643</v>
      </c>
      <c r="C16" s="2" t="s">
        <v>39</v>
      </c>
      <c r="D16" s="2" t="s">
        <v>60</v>
      </c>
      <c r="E16" s="32" t="s">
        <v>557</v>
      </c>
      <c r="F16" s="8">
        <v>13.15</v>
      </c>
      <c r="G16" s="9">
        <v>2017</v>
      </c>
      <c r="I16" s="10">
        <f t="shared" si="1"/>
        <v>13.15</v>
      </c>
      <c r="J16" s="10">
        <f t="shared" si="1"/>
        <v>13.15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470</v>
      </c>
      <c r="C17" s="2" t="s">
        <v>44</v>
      </c>
      <c r="D17" s="2" t="s">
        <v>62</v>
      </c>
      <c r="E17" s="7" t="s">
        <v>427</v>
      </c>
      <c r="F17" s="8">
        <v>6.75</v>
      </c>
      <c r="G17" s="9">
        <v>2017</v>
      </c>
      <c r="I17" s="10">
        <f t="shared" si="1"/>
        <v>6.75</v>
      </c>
      <c r="J17" s="10">
        <f t="shared" si="1"/>
        <v>6.75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347</v>
      </c>
      <c r="C18" s="2" t="s">
        <v>43</v>
      </c>
      <c r="D18" s="2" t="s">
        <v>67</v>
      </c>
      <c r="E18" s="32" t="s">
        <v>557</v>
      </c>
      <c r="F18" s="8">
        <v>3</v>
      </c>
      <c r="G18" s="9">
        <v>2017</v>
      </c>
      <c r="I18" s="10">
        <f t="shared" si="1"/>
        <v>3</v>
      </c>
      <c r="J18" s="10">
        <f t="shared" si="1"/>
        <v>3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513</v>
      </c>
      <c r="C19" s="2" t="s">
        <v>40</v>
      </c>
      <c r="D19" s="2" t="s">
        <v>65</v>
      </c>
      <c r="E19" s="32" t="s">
        <v>507</v>
      </c>
      <c r="F19" s="8">
        <v>71.15</v>
      </c>
      <c r="G19" s="9">
        <v>2016</v>
      </c>
      <c r="I19" s="10">
        <f t="shared" si="1"/>
        <v>71.15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90</v>
      </c>
      <c r="C20" s="2" t="s">
        <v>40</v>
      </c>
      <c r="D20" s="2" t="s">
        <v>83</v>
      </c>
      <c r="E20" s="32" t="s">
        <v>557</v>
      </c>
      <c r="F20" s="8">
        <v>16</v>
      </c>
      <c r="G20" s="9">
        <v>2016</v>
      </c>
      <c r="I20" s="10">
        <f t="shared" si="1"/>
        <v>16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112</v>
      </c>
      <c r="C21" s="30" t="s">
        <v>39</v>
      </c>
      <c r="D21" s="30" t="s">
        <v>67</v>
      </c>
      <c r="E21" s="32" t="s">
        <v>374</v>
      </c>
      <c r="F21" s="12">
        <v>14.05</v>
      </c>
      <c r="G21" s="13">
        <v>2016</v>
      </c>
      <c r="I21" s="10">
        <f t="shared" si="1"/>
        <v>14.05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119</v>
      </c>
      <c r="C22" s="30" t="s">
        <v>40</v>
      </c>
      <c r="D22" s="30" t="s">
        <v>81</v>
      </c>
      <c r="E22" s="32" t="s">
        <v>374</v>
      </c>
      <c r="F22" s="8">
        <v>7.05</v>
      </c>
      <c r="G22" s="9">
        <v>2016</v>
      </c>
      <c r="I22" s="10">
        <f t="shared" si="1"/>
        <v>7.05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129</v>
      </c>
      <c r="C23" s="30" t="s">
        <v>38</v>
      </c>
      <c r="D23" s="35" t="s">
        <v>80</v>
      </c>
      <c r="E23" s="32" t="s">
        <v>374</v>
      </c>
      <c r="F23" s="12">
        <v>4.1</v>
      </c>
      <c r="G23" s="13">
        <v>2016</v>
      </c>
      <c r="I23" s="10">
        <f t="shared" si="1"/>
        <v>4.1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723</v>
      </c>
      <c r="C24" s="2" t="s">
        <v>43</v>
      </c>
      <c r="D24" s="2" t="s">
        <v>79</v>
      </c>
      <c r="E24" s="32" t="s">
        <v>691</v>
      </c>
      <c r="F24" s="8">
        <v>3</v>
      </c>
      <c r="G24" s="9">
        <v>2016</v>
      </c>
      <c r="I24" s="10">
        <f t="shared" si="1"/>
        <v>3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711</v>
      </c>
      <c r="C25" s="2" t="s">
        <v>44</v>
      </c>
      <c r="D25" s="2" t="s">
        <v>702</v>
      </c>
      <c r="E25" s="32" t="s">
        <v>691</v>
      </c>
      <c r="F25" s="8">
        <v>3</v>
      </c>
      <c r="G25" s="9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710</v>
      </c>
      <c r="C26" s="2" t="s">
        <v>43</v>
      </c>
      <c r="D26" s="2" t="s">
        <v>87</v>
      </c>
      <c r="E26" s="32" t="s">
        <v>691</v>
      </c>
      <c r="F26" s="8">
        <v>3</v>
      </c>
      <c r="G26" s="9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694</v>
      </c>
      <c r="C27" s="2" t="s">
        <v>41</v>
      </c>
      <c r="D27" s="2" t="s">
        <v>78</v>
      </c>
      <c r="E27" s="32" t="s">
        <v>691</v>
      </c>
      <c r="F27" s="8">
        <v>3</v>
      </c>
      <c r="G27" s="9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697</v>
      </c>
      <c r="C28" s="2" t="s">
        <v>44</v>
      </c>
      <c r="D28" s="2" t="s">
        <v>68</v>
      </c>
      <c r="E28" s="32" t="s">
        <v>691</v>
      </c>
      <c r="F28" s="8">
        <v>3</v>
      </c>
      <c r="G28" s="9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155</v>
      </c>
      <c r="C29" s="30" t="s">
        <v>38</v>
      </c>
      <c r="D29" s="30" t="s">
        <v>84</v>
      </c>
      <c r="E29" s="32" t="s">
        <v>374</v>
      </c>
      <c r="F29" s="8">
        <v>2.35</v>
      </c>
      <c r="G29" s="11">
        <v>2016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1"/>
      <c r="C31" s="23"/>
      <c r="D31" s="21"/>
      <c r="E31" s="21"/>
      <c r="F31" s="21"/>
      <c r="G31" s="21"/>
      <c r="I31" s="15">
        <f>+SUM(I5:I29)</f>
        <v>290.70000000000005</v>
      </c>
      <c r="J31" s="15">
        <f>+SUM(J5:J29)</f>
        <v>161</v>
      </c>
      <c r="K31" s="15">
        <f>+SUM(K5:K29)</f>
        <v>55.75</v>
      </c>
      <c r="L31" s="15">
        <f>+SUM(L5:L29)</f>
        <v>32.3</v>
      </c>
      <c r="M31" s="15">
        <f>+SUM(M5:M29)</f>
        <v>12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355</v>
      </c>
      <c r="C37" s="2" t="s">
        <v>43</v>
      </c>
      <c r="D37" s="2" t="s">
        <v>62</v>
      </c>
      <c r="E37" s="32">
        <v>2016</v>
      </c>
      <c r="F37" s="8">
        <v>2.75</v>
      </c>
      <c r="G37" s="9">
        <v>2018</v>
      </c>
      <c r="I37" s="10">
        <f aca="true" t="shared" si="2" ref="I37:I48">+CEILING(IF($I$35=E37,F37,IF($I$35&lt;=G37,F37*0.3,0)),0.05)</f>
        <v>2.75</v>
      </c>
      <c r="J37" s="10">
        <f aca="true" t="shared" si="3" ref="J37:J48">+CEILING(IF($J$35&lt;=G37,F37*0.3,0),0.05)</f>
        <v>0.8500000000000001</v>
      </c>
      <c r="K37" s="10">
        <f aca="true" t="shared" si="4" ref="K37:K48">+CEILING(IF($K$35&lt;=G37,F37*0.3,0),0.05)</f>
        <v>0.8500000000000001</v>
      </c>
      <c r="L37" s="10">
        <f aca="true" t="shared" si="5" ref="L37:L48">+CEILING(IF($L$35&lt;=G37,F37*0.3,0),0.05)</f>
        <v>0</v>
      </c>
      <c r="M37" s="10">
        <f aca="true" t="shared" si="6" ref="M37:M48">CEILING(IF($M$35&lt;=G37,F37*0.3,0),0.05)</f>
        <v>0</v>
      </c>
    </row>
    <row r="38" spans="1:13" ht="12.75">
      <c r="A38" s="6">
        <v>2</v>
      </c>
      <c r="B38" s="31" t="s">
        <v>482</v>
      </c>
      <c r="C38" s="2" t="s">
        <v>40</v>
      </c>
      <c r="D38" s="2" t="s">
        <v>65</v>
      </c>
      <c r="E38" s="32">
        <v>2016</v>
      </c>
      <c r="F38" s="8">
        <v>18.05</v>
      </c>
      <c r="G38" s="9">
        <v>2017</v>
      </c>
      <c r="I38" s="10">
        <f t="shared" si="2"/>
        <v>18.05</v>
      </c>
      <c r="J38" s="10">
        <f t="shared" si="3"/>
        <v>5.45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227</v>
      </c>
      <c r="C39" s="2" t="s">
        <v>39</v>
      </c>
      <c r="D39" s="2" t="s">
        <v>64</v>
      </c>
      <c r="E39" s="32">
        <v>2016</v>
      </c>
      <c r="F39" s="8">
        <v>4.45</v>
      </c>
      <c r="G39" s="9">
        <v>2017</v>
      </c>
      <c r="I39" s="10">
        <f t="shared" si="2"/>
        <v>4.45</v>
      </c>
      <c r="J39" s="10">
        <f t="shared" si="3"/>
        <v>1.35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477</v>
      </c>
      <c r="C40" s="2" t="s">
        <v>44</v>
      </c>
      <c r="D40" s="2" t="s">
        <v>71</v>
      </c>
      <c r="E40" s="32">
        <v>2016</v>
      </c>
      <c r="F40" s="8">
        <v>2.9</v>
      </c>
      <c r="G40" s="9">
        <v>2017</v>
      </c>
      <c r="I40" s="10">
        <f t="shared" si="2"/>
        <v>2.9000000000000004</v>
      </c>
      <c r="J40" s="10">
        <f t="shared" si="3"/>
        <v>0.9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257</v>
      </c>
      <c r="C41" s="2" t="s">
        <v>44</v>
      </c>
      <c r="D41" s="2" t="s">
        <v>60</v>
      </c>
      <c r="E41" s="32">
        <v>2016</v>
      </c>
      <c r="F41" s="8">
        <v>2.55</v>
      </c>
      <c r="G41" s="9">
        <v>2017</v>
      </c>
      <c r="I41" s="10">
        <f t="shared" si="2"/>
        <v>2.5500000000000003</v>
      </c>
      <c r="J41" s="10">
        <f t="shared" si="3"/>
        <v>0.8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219</v>
      </c>
      <c r="C42" s="2" t="s">
        <v>38</v>
      </c>
      <c r="D42" s="2" t="s">
        <v>60</v>
      </c>
      <c r="E42" s="32">
        <v>2016</v>
      </c>
      <c r="F42" s="8">
        <v>2.55</v>
      </c>
      <c r="G42" s="9">
        <v>2017</v>
      </c>
      <c r="I42" s="10">
        <f t="shared" si="2"/>
        <v>2.5500000000000003</v>
      </c>
      <c r="J42" s="10">
        <f t="shared" si="3"/>
        <v>0.8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261</v>
      </c>
      <c r="C43" s="2" t="s">
        <v>39</v>
      </c>
      <c r="D43" s="2" t="s">
        <v>76</v>
      </c>
      <c r="E43" s="32">
        <v>2016</v>
      </c>
      <c r="F43" s="8">
        <v>2.55</v>
      </c>
      <c r="G43" s="9">
        <v>2017</v>
      </c>
      <c r="I43" s="10">
        <f t="shared" si="2"/>
        <v>2.5500000000000003</v>
      </c>
      <c r="J43" s="10">
        <f t="shared" si="3"/>
        <v>0.8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348</v>
      </c>
      <c r="C44" s="2" t="s">
        <v>40</v>
      </c>
      <c r="D44" s="2" t="s">
        <v>69</v>
      </c>
      <c r="E44" s="2">
        <v>2014</v>
      </c>
      <c r="F44" s="8">
        <v>51.8</v>
      </c>
      <c r="G44" s="9">
        <v>2016</v>
      </c>
      <c r="I44" s="10">
        <f t="shared" si="2"/>
        <v>15.55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123</v>
      </c>
      <c r="C45" s="2" t="s">
        <v>44</v>
      </c>
      <c r="D45" s="2" t="s">
        <v>81</v>
      </c>
      <c r="E45" s="32">
        <v>2015</v>
      </c>
      <c r="F45" s="12">
        <v>5.3</v>
      </c>
      <c r="G45" s="13">
        <v>2016</v>
      </c>
      <c r="I45" s="10">
        <f t="shared" si="2"/>
        <v>1.6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143</v>
      </c>
      <c r="C46" s="30" t="s">
        <v>39</v>
      </c>
      <c r="D46" s="30" t="s">
        <v>86</v>
      </c>
      <c r="E46" s="32">
        <v>2015</v>
      </c>
      <c r="F46" s="12">
        <v>2.35</v>
      </c>
      <c r="G46" s="13">
        <v>2016</v>
      </c>
      <c r="I46" s="10">
        <f t="shared" si="2"/>
        <v>0.75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2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2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D49" s="2"/>
      <c r="E49" s="2"/>
      <c r="F49" s="8"/>
      <c r="G49" s="9"/>
      <c r="I49" s="10">
        <f>+CEILING(IF($I$35=E49,F49,IF($I$35&lt;=G49,F49*0.3,0)),0.05)</f>
        <v>0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.75">
      <c r="A50" s="6">
        <v>14</v>
      </c>
      <c r="B50" s="31"/>
      <c r="D50" s="2"/>
      <c r="E50" s="32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9:13" ht="7.5" customHeight="1">
      <c r="I51" s="14"/>
      <c r="J51" s="14"/>
      <c r="K51" s="14"/>
      <c r="L51" s="14"/>
      <c r="M51" s="14"/>
    </row>
    <row r="52" spans="9:13" ht="12.75">
      <c r="I52" s="15">
        <f>+SUM(I37:I51)</f>
        <v>53.699999999999996</v>
      </c>
      <c r="J52" s="15">
        <f>+SUM(J37:J51)</f>
        <v>10.950000000000003</v>
      </c>
      <c r="K52" s="15">
        <f>+SUM(K37:K51)</f>
        <v>0.8500000000000001</v>
      </c>
      <c r="L52" s="15">
        <f>+SUM(L37:L51)</f>
        <v>0</v>
      </c>
      <c r="M52" s="15">
        <f>+SUM(M37:M51)</f>
        <v>0</v>
      </c>
    </row>
    <row r="53" spans="9:13" ht="12.75">
      <c r="I53" s="16"/>
      <c r="J53" s="16"/>
      <c r="K53" s="16"/>
      <c r="L53" s="16"/>
      <c r="M5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fitToHeight="1" fitToWidth="1" horizontalDpi="600" verticalDpi="600" orientation="portrait" scale="98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517</v>
      </c>
      <c r="C5" s="2" t="s">
        <v>39</v>
      </c>
      <c r="D5" s="2" t="s">
        <v>55</v>
      </c>
      <c r="E5" s="7" t="s">
        <v>515</v>
      </c>
      <c r="F5" s="12">
        <v>21</v>
      </c>
      <c r="G5" s="13">
        <v>2020</v>
      </c>
      <c r="I5" s="10">
        <f aca="true" t="shared" si="0" ref="I5:M14">+IF($G5&gt;=I$3,$F5,0)</f>
        <v>21</v>
      </c>
      <c r="J5" s="10">
        <f t="shared" si="0"/>
        <v>21</v>
      </c>
      <c r="K5" s="10">
        <f t="shared" si="0"/>
        <v>21</v>
      </c>
      <c r="L5" s="10">
        <f t="shared" si="0"/>
        <v>21</v>
      </c>
      <c r="M5" s="10">
        <f t="shared" si="0"/>
        <v>21</v>
      </c>
    </row>
    <row r="6" spans="1:13" ht="12.75">
      <c r="A6" s="6">
        <v>2</v>
      </c>
      <c r="B6" s="1" t="s">
        <v>687</v>
      </c>
      <c r="C6" s="2" t="s">
        <v>43</v>
      </c>
      <c r="D6" s="2" t="s">
        <v>114</v>
      </c>
      <c r="E6" s="7" t="s">
        <v>557</v>
      </c>
      <c r="F6" s="8">
        <v>8.9</v>
      </c>
      <c r="G6" s="9">
        <v>2020</v>
      </c>
      <c r="I6" s="10">
        <f t="shared" si="0"/>
        <v>8.9</v>
      </c>
      <c r="J6" s="10">
        <f t="shared" si="0"/>
        <v>8.9</v>
      </c>
      <c r="K6" s="10">
        <f t="shared" si="0"/>
        <v>8.9</v>
      </c>
      <c r="L6" s="10">
        <f t="shared" si="0"/>
        <v>8.9</v>
      </c>
      <c r="M6" s="10">
        <f t="shared" si="0"/>
        <v>8.9</v>
      </c>
    </row>
    <row r="7" spans="1:13" ht="12.75">
      <c r="A7" s="6">
        <v>3</v>
      </c>
      <c r="B7" s="31" t="s">
        <v>668</v>
      </c>
      <c r="C7" s="2" t="s">
        <v>42</v>
      </c>
      <c r="D7" s="2" t="s">
        <v>67</v>
      </c>
      <c r="E7" s="7" t="s">
        <v>557</v>
      </c>
      <c r="F7" s="8">
        <v>6.1</v>
      </c>
      <c r="G7" s="9">
        <v>2020</v>
      </c>
      <c r="I7" s="10">
        <f t="shared" si="0"/>
        <v>6.1</v>
      </c>
      <c r="J7" s="10">
        <f t="shared" si="0"/>
        <v>6.1</v>
      </c>
      <c r="K7" s="10">
        <f t="shared" si="0"/>
        <v>6.1</v>
      </c>
      <c r="L7" s="10">
        <f t="shared" si="0"/>
        <v>6.1</v>
      </c>
      <c r="M7" s="10">
        <f t="shared" si="0"/>
        <v>6.1</v>
      </c>
    </row>
    <row r="8" spans="1:13" ht="12.75">
      <c r="A8" s="6">
        <v>4</v>
      </c>
      <c r="B8" s="31" t="s">
        <v>542</v>
      </c>
      <c r="C8" s="2" t="s">
        <v>41</v>
      </c>
      <c r="D8" s="2" t="s">
        <v>73</v>
      </c>
      <c r="E8" s="7" t="s">
        <v>515</v>
      </c>
      <c r="F8" s="8">
        <v>3</v>
      </c>
      <c r="G8" s="9">
        <v>2020</v>
      </c>
      <c r="I8" s="10">
        <f t="shared" si="0"/>
        <v>3</v>
      </c>
      <c r="J8" s="10">
        <f t="shared" si="0"/>
        <v>3</v>
      </c>
      <c r="K8" s="10">
        <f t="shared" si="0"/>
        <v>3</v>
      </c>
      <c r="L8" s="10">
        <f t="shared" si="0"/>
        <v>3</v>
      </c>
      <c r="M8" s="10">
        <f t="shared" si="0"/>
        <v>3</v>
      </c>
    </row>
    <row r="9" spans="1:13" ht="12.75">
      <c r="A9" s="6">
        <v>5</v>
      </c>
      <c r="B9" s="21" t="s">
        <v>674</v>
      </c>
      <c r="C9" s="2" t="s">
        <v>44</v>
      </c>
      <c r="D9" s="2" t="s">
        <v>62</v>
      </c>
      <c r="E9" s="7" t="s">
        <v>557</v>
      </c>
      <c r="F9" s="8">
        <v>3</v>
      </c>
      <c r="G9" s="9">
        <v>2020</v>
      </c>
      <c r="I9" s="10">
        <f t="shared" si="0"/>
        <v>3</v>
      </c>
      <c r="J9" s="10">
        <f t="shared" si="0"/>
        <v>3</v>
      </c>
      <c r="K9" s="10">
        <f t="shared" si="0"/>
        <v>3</v>
      </c>
      <c r="L9" s="10">
        <f t="shared" si="0"/>
        <v>3</v>
      </c>
      <c r="M9" s="10">
        <f t="shared" si="0"/>
        <v>3</v>
      </c>
    </row>
    <row r="10" spans="1:13" ht="12.75">
      <c r="A10" s="6">
        <v>6</v>
      </c>
      <c r="B10" s="1" t="s">
        <v>425</v>
      </c>
      <c r="C10" s="2" t="s">
        <v>40</v>
      </c>
      <c r="D10" s="2" t="s">
        <v>60</v>
      </c>
      <c r="E10" s="7" t="s">
        <v>386</v>
      </c>
      <c r="F10" s="8">
        <v>13.05</v>
      </c>
      <c r="G10" s="9">
        <v>2019</v>
      </c>
      <c r="I10" s="10">
        <f t="shared" si="0"/>
        <v>13.05</v>
      </c>
      <c r="J10" s="10">
        <f t="shared" si="0"/>
        <v>13.05</v>
      </c>
      <c r="K10" s="10">
        <f t="shared" si="0"/>
        <v>13.05</v>
      </c>
      <c r="L10" s="10">
        <f t="shared" si="0"/>
        <v>13.05</v>
      </c>
      <c r="M10" s="10">
        <f t="shared" si="0"/>
        <v>0</v>
      </c>
    </row>
    <row r="11" spans="1:13" ht="12.75">
      <c r="A11" s="6">
        <v>7</v>
      </c>
      <c r="B11" s="31" t="s">
        <v>497</v>
      </c>
      <c r="C11" s="2" t="s">
        <v>43</v>
      </c>
      <c r="D11" s="2" t="s">
        <v>84</v>
      </c>
      <c r="E11" s="7" t="s">
        <v>427</v>
      </c>
      <c r="F11" s="8">
        <v>6.95</v>
      </c>
      <c r="G11" s="9">
        <v>2019</v>
      </c>
      <c r="I11" s="10">
        <f t="shared" si="0"/>
        <v>6.95</v>
      </c>
      <c r="J11" s="10">
        <f t="shared" si="0"/>
        <v>6.95</v>
      </c>
      <c r="K11" s="10">
        <f t="shared" si="0"/>
        <v>6.95</v>
      </c>
      <c r="L11" s="10">
        <f t="shared" si="0"/>
        <v>6.95</v>
      </c>
      <c r="M11" s="10">
        <f t="shared" si="0"/>
        <v>0</v>
      </c>
    </row>
    <row r="12" spans="1:13" ht="12.75">
      <c r="A12" s="6">
        <v>8</v>
      </c>
      <c r="B12" s="1" t="s">
        <v>502</v>
      </c>
      <c r="C12" s="2" t="s">
        <v>43</v>
      </c>
      <c r="D12" s="2" t="s">
        <v>77</v>
      </c>
      <c r="E12" s="2" t="s">
        <v>427</v>
      </c>
      <c r="F12" s="12">
        <v>5.25</v>
      </c>
      <c r="G12" s="13">
        <v>2019</v>
      </c>
      <c r="I12" s="10">
        <f t="shared" si="0"/>
        <v>5.25</v>
      </c>
      <c r="J12" s="10">
        <f t="shared" si="0"/>
        <v>5.25</v>
      </c>
      <c r="K12" s="10">
        <f t="shared" si="0"/>
        <v>5.25</v>
      </c>
      <c r="L12" s="10">
        <f t="shared" si="0"/>
        <v>5.25</v>
      </c>
      <c r="M12" s="10">
        <f t="shared" si="0"/>
        <v>0</v>
      </c>
    </row>
    <row r="13" spans="1:13" ht="12.75">
      <c r="A13" s="6">
        <v>9</v>
      </c>
      <c r="B13" s="31" t="s">
        <v>399</v>
      </c>
      <c r="C13" s="2" t="s">
        <v>39</v>
      </c>
      <c r="D13" s="2" t="s">
        <v>80</v>
      </c>
      <c r="E13" s="7" t="s">
        <v>386</v>
      </c>
      <c r="F13" s="12">
        <v>2.9</v>
      </c>
      <c r="G13" s="13">
        <v>2019</v>
      </c>
      <c r="I13" s="10">
        <f t="shared" si="0"/>
        <v>2.9</v>
      </c>
      <c r="J13" s="10">
        <f t="shared" si="0"/>
        <v>2.9</v>
      </c>
      <c r="K13" s="10">
        <f t="shared" si="0"/>
        <v>2.9</v>
      </c>
      <c r="L13" s="10">
        <f t="shared" si="0"/>
        <v>2.9</v>
      </c>
      <c r="M13" s="10">
        <f t="shared" si="0"/>
        <v>0</v>
      </c>
    </row>
    <row r="14" spans="1:13" ht="12.75">
      <c r="A14" s="6">
        <v>10</v>
      </c>
      <c r="B14" s="31" t="s">
        <v>501</v>
      </c>
      <c r="C14" s="30" t="s">
        <v>40</v>
      </c>
      <c r="D14" s="30" t="s">
        <v>71</v>
      </c>
      <c r="E14" s="32" t="s">
        <v>427</v>
      </c>
      <c r="F14" s="8">
        <v>2.9</v>
      </c>
      <c r="G14" s="9">
        <v>2019</v>
      </c>
      <c r="I14" s="10">
        <f t="shared" si="0"/>
        <v>2.9</v>
      </c>
      <c r="J14" s="10">
        <f t="shared" si="0"/>
        <v>2.9</v>
      </c>
      <c r="K14" s="10">
        <f t="shared" si="0"/>
        <v>2.9</v>
      </c>
      <c r="L14" s="10">
        <f t="shared" si="0"/>
        <v>2.9</v>
      </c>
      <c r="M14" s="10">
        <f t="shared" si="0"/>
        <v>0</v>
      </c>
    </row>
    <row r="15" spans="1:13" ht="12.75">
      <c r="A15" s="6">
        <v>11</v>
      </c>
      <c r="B15" s="1" t="s">
        <v>433</v>
      </c>
      <c r="C15" s="2" t="s">
        <v>38</v>
      </c>
      <c r="D15" s="2" t="s">
        <v>60</v>
      </c>
      <c r="E15" s="7" t="s">
        <v>427</v>
      </c>
      <c r="F15" s="8">
        <v>40.25</v>
      </c>
      <c r="G15" s="9">
        <v>2018</v>
      </c>
      <c r="I15" s="10">
        <f aca="true" t="shared" si="1" ref="I15:M29">+IF($G15&gt;=I$3,$F15,0)</f>
        <v>40.25</v>
      </c>
      <c r="J15" s="10">
        <f t="shared" si="1"/>
        <v>40.25</v>
      </c>
      <c r="K15" s="10">
        <f t="shared" si="1"/>
        <v>40.25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288</v>
      </c>
      <c r="C16" s="30" t="s">
        <v>39</v>
      </c>
      <c r="D16" s="30" t="s">
        <v>86</v>
      </c>
      <c r="E16" s="30" t="s">
        <v>371</v>
      </c>
      <c r="F16" s="12">
        <v>12.35</v>
      </c>
      <c r="G16" s="13">
        <v>2018</v>
      </c>
      <c r="I16" s="10">
        <f t="shared" si="1"/>
        <v>12.35</v>
      </c>
      <c r="J16" s="10">
        <f t="shared" si="1"/>
        <v>12.35</v>
      </c>
      <c r="K16" s="10">
        <f t="shared" si="1"/>
        <v>12.35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343</v>
      </c>
      <c r="C17" s="30" t="s">
        <v>43</v>
      </c>
      <c r="D17" s="30" t="s">
        <v>63</v>
      </c>
      <c r="E17" s="30" t="s">
        <v>372</v>
      </c>
      <c r="F17" s="12">
        <v>10</v>
      </c>
      <c r="G17" s="13">
        <v>2018</v>
      </c>
      <c r="I17" s="10">
        <f t="shared" si="1"/>
        <v>10</v>
      </c>
      <c r="J17" s="10">
        <f t="shared" si="1"/>
        <v>10</v>
      </c>
      <c r="K17" s="10">
        <f t="shared" si="1"/>
        <v>10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342</v>
      </c>
      <c r="C18" s="2" t="s">
        <v>44</v>
      </c>
      <c r="D18" s="2" t="s">
        <v>59</v>
      </c>
      <c r="E18" s="7" t="s">
        <v>372</v>
      </c>
      <c r="F18" s="8">
        <v>5.5</v>
      </c>
      <c r="G18" s="9">
        <v>2018</v>
      </c>
      <c r="I18" s="10">
        <f t="shared" si="1"/>
        <v>5.5</v>
      </c>
      <c r="J18" s="10">
        <f t="shared" si="1"/>
        <v>5.5</v>
      </c>
      <c r="K18" s="10">
        <f t="shared" si="1"/>
        <v>5.5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20" t="s">
        <v>308</v>
      </c>
      <c r="C19" s="2" t="s">
        <v>40</v>
      </c>
      <c r="D19" s="30" t="s">
        <v>61</v>
      </c>
      <c r="E19" s="32" t="s">
        <v>371</v>
      </c>
      <c r="F19" s="8">
        <v>2.75</v>
      </c>
      <c r="G19" s="9">
        <v>2018</v>
      </c>
      <c r="I19" s="10">
        <f t="shared" si="1"/>
        <v>2.75</v>
      </c>
      <c r="J19" s="10">
        <f t="shared" si="1"/>
        <v>2.75</v>
      </c>
      <c r="K19" s="10">
        <f t="shared" si="1"/>
        <v>2.75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211</v>
      </c>
      <c r="C20" s="2" t="s">
        <v>39</v>
      </c>
      <c r="D20" s="2" t="s">
        <v>58</v>
      </c>
      <c r="E20" s="7" t="s">
        <v>373</v>
      </c>
      <c r="F20" s="12">
        <v>7</v>
      </c>
      <c r="G20" s="13">
        <v>2017</v>
      </c>
      <c r="I20" s="10">
        <f t="shared" si="1"/>
        <v>7</v>
      </c>
      <c r="J20" s="10">
        <f t="shared" si="1"/>
        <v>7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213</v>
      </c>
      <c r="C21" s="2" t="s">
        <v>38</v>
      </c>
      <c r="D21" s="2" t="s">
        <v>67</v>
      </c>
      <c r="E21" s="7" t="s">
        <v>373</v>
      </c>
      <c r="F21" s="12">
        <v>2.55</v>
      </c>
      <c r="G21" s="13">
        <v>2017</v>
      </c>
      <c r="I21" s="10">
        <f t="shared" si="1"/>
        <v>2.55</v>
      </c>
      <c r="J21" s="10">
        <f t="shared" si="1"/>
        <v>2.55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449</v>
      </c>
      <c r="C22" s="2" t="s">
        <v>40</v>
      </c>
      <c r="D22" s="2" t="s">
        <v>67</v>
      </c>
      <c r="E22" s="7" t="s">
        <v>427</v>
      </c>
      <c r="F22" s="8">
        <v>41.5</v>
      </c>
      <c r="G22" s="9">
        <v>2016</v>
      </c>
      <c r="I22" s="10">
        <f t="shared" si="1"/>
        <v>41.5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116</v>
      </c>
      <c r="C23" s="30" t="s">
        <v>39</v>
      </c>
      <c r="D23" s="30" t="s">
        <v>57</v>
      </c>
      <c r="E23" s="30" t="s">
        <v>374</v>
      </c>
      <c r="F23" s="12">
        <v>10.55</v>
      </c>
      <c r="G23" s="13">
        <v>2016</v>
      </c>
      <c r="I23" s="10">
        <f t="shared" si="1"/>
        <v>10.55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699</v>
      </c>
      <c r="C24" s="2" t="s">
        <v>40</v>
      </c>
      <c r="D24" s="30" t="s">
        <v>55</v>
      </c>
      <c r="E24" s="7" t="s">
        <v>691</v>
      </c>
      <c r="F24" s="12">
        <v>3</v>
      </c>
      <c r="G24" s="13">
        <v>2016</v>
      </c>
      <c r="I24" s="10">
        <f t="shared" si="1"/>
        <v>3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705</v>
      </c>
      <c r="C25" s="2" t="s">
        <v>43</v>
      </c>
      <c r="D25" s="2" t="s">
        <v>58</v>
      </c>
      <c r="E25" s="2" t="s">
        <v>691</v>
      </c>
      <c r="F25" s="12">
        <v>3</v>
      </c>
      <c r="G25" s="13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708</v>
      </c>
      <c r="C26" s="2" t="s">
        <v>44</v>
      </c>
      <c r="D26" s="2" t="s">
        <v>65</v>
      </c>
      <c r="E26" s="2" t="s">
        <v>691</v>
      </c>
      <c r="F26" s="12">
        <v>3</v>
      </c>
      <c r="G26" s="13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709</v>
      </c>
      <c r="C27" s="30" t="s">
        <v>40</v>
      </c>
      <c r="D27" s="30" t="s">
        <v>72</v>
      </c>
      <c r="E27" s="32" t="s">
        <v>691</v>
      </c>
      <c r="F27" s="12">
        <v>3</v>
      </c>
      <c r="G27" s="13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146</v>
      </c>
      <c r="C28" s="30" t="s">
        <v>43</v>
      </c>
      <c r="D28" s="30" t="s">
        <v>69</v>
      </c>
      <c r="E28" s="32" t="s">
        <v>374</v>
      </c>
      <c r="F28" s="8">
        <v>2.35</v>
      </c>
      <c r="G28" s="9">
        <v>2016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157</v>
      </c>
      <c r="C29" s="30" t="s">
        <v>41</v>
      </c>
      <c r="D29" s="30" t="s">
        <v>61</v>
      </c>
      <c r="E29" s="32" t="s">
        <v>374</v>
      </c>
      <c r="F29" s="12">
        <v>2.35</v>
      </c>
      <c r="G29" s="13">
        <v>2016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2"/>
      <c r="F31" s="12"/>
      <c r="G31" s="13"/>
      <c r="I31" s="15">
        <f>+SUM(I5:I29)</f>
        <v>222.20000000000002</v>
      </c>
      <c r="J31" s="15">
        <f>+SUM(J5:J29)</f>
        <v>153.45000000000002</v>
      </c>
      <c r="K31" s="15">
        <f>+SUM(K5:K29)</f>
        <v>143.9</v>
      </c>
      <c r="L31" s="15">
        <f>+SUM(L5:L29)</f>
        <v>73.05000000000001</v>
      </c>
      <c r="M31" s="15">
        <f>+SUM(M5:M29)</f>
        <v>42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212</v>
      </c>
      <c r="C37" s="2" t="s">
        <v>39</v>
      </c>
      <c r="D37" s="2" t="s">
        <v>80</v>
      </c>
      <c r="E37" s="7">
        <v>2013</v>
      </c>
      <c r="F37" s="8">
        <v>2.55</v>
      </c>
      <c r="G37" s="9">
        <v>2017</v>
      </c>
      <c r="I37" s="10">
        <f aca="true" t="shared" si="2" ref="I37:I46">+CEILING(IF($I$35=E37,F37,IF($I$35&lt;=G37,F37*0.3,0)),0.05)</f>
        <v>0.8</v>
      </c>
      <c r="J37" s="10">
        <f aca="true" t="shared" si="3" ref="J37:J46">+CEILING(IF($J$35&lt;=G37,F37*0.3,0),0.05)</f>
        <v>0.8</v>
      </c>
      <c r="K37" s="10">
        <f aca="true" t="shared" si="4" ref="K37:K46">+CEILING(IF($K$35&lt;=G37,F37*0.3,0),0.05)</f>
        <v>0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20" t="s">
        <v>133</v>
      </c>
      <c r="C38" s="2" t="s">
        <v>38</v>
      </c>
      <c r="D38" s="30" t="s">
        <v>88</v>
      </c>
      <c r="E38" s="32">
        <v>2013</v>
      </c>
      <c r="F38" s="8">
        <v>2.95</v>
      </c>
      <c r="G38" s="9">
        <v>2016</v>
      </c>
      <c r="I38" s="10">
        <f t="shared" si="2"/>
        <v>0.9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/>
      <c r="D39" s="2"/>
      <c r="E39" s="7"/>
      <c r="F39" s="8"/>
      <c r="G39" s="9"/>
      <c r="I39" s="10">
        <f t="shared" si="2"/>
        <v>0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/>
      <c r="D40" s="2"/>
      <c r="E40" s="7"/>
      <c r="F40" s="8"/>
      <c r="G40" s="9"/>
      <c r="I40" s="10">
        <f t="shared" si="2"/>
        <v>0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/>
      <c r="D41" s="2"/>
      <c r="E41" s="7"/>
      <c r="F41" s="8"/>
      <c r="G41" s="9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/>
      <c r="D42" s="2"/>
      <c r="E42" s="2"/>
      <c r="F42" s="12"/>
      <c r="G42" s="13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4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4"/>
      <c r="D44" s="2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D45" s="2"/>
      <c r="E45" s="2"/>
      <c r="F45" s="12"/>
      <c r="G45" s="13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2"/>
      <c r="F46" s="12"/>
      <c r="G46" s="13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9:13" ht="7.5" customHeight="1">
      <c r="I47" s="14"/>
      <c r="J47" s="14"/>
      <c r="K47" s="14"/>
      <c r="L47" s="14"/>
      <c r="M47" s="14"/>
    </row>
    <row r="48" spans="9:13" ht="12.75">
      <c r="I48" s="15">
        <f>+SUM(I37:I47)</f>
        <v>1.7000000000000002</v>
      </c>
      <c r="J48" s="15">
        <f>+SUM(J37:J47)</f>
        <v>0.8</v>
      </c>
      <c r="K48" s="15">
        <f>+SUM(K37:K47)</f>
        <v>0</v>
      </c>
      <c r="L48" s="15">
        <f>+SUM(L37:L47)</f>
        <v>0</v>
      </c>
      <c r="M48" s="15">
        <f>+SUM(M37:M47)</f>
        <v>0</v>
      </c>
    </row>
    <row r="49" spans="9:13" ht="12.75">
      <c r="I49" s="16"/>
      <c r="J49" s="16"/>
      <c r="K49" s="16"/>
      <c r="L49" s="16"/>
      <c r="M4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524</v>
      </c>
      <c r="C5" s="2" t="s">
        <v>39</v>
      </c>
      <c r="D5" s="2" t="s">
        <v>83</v>
      </c>
      <c r="E5" s="2" t="s">
        <v>515</v>
      </c>
      <c r="F5" s="8">
        <v>10.5</v>
      </c>
      <c r="G5" s="9">
        <v>2020</v>
      </c>
      <c r="I5" s="10">
        <f aca="true" t="shared" si="0" ref="I5:M14">+IF($G5&gt;=I$3,$F5,0)</f>
        <v>10.5</v>
      </c>
      <c r="J5" s="10">
        <f t="shared" si="0"/>
        <v>10.5</v>
      </c>
      <c r="K5" s="10">
        <f t="shared" si="0"/>
        <v>10.5</v>
      </c>
      <c r="L5" s="10">
        <f t="shared" si="0"/>
        <v>10.5</v>
      </c>
      <c r="M5" s="10">
        <f t="shared" si="0"/>
        <v>10.5</v>
      </c>
    </row>
    <row r="6" spans="1:13" ht="12.75">
      <c r="A6" s="6">
        <v>2</v>
      </c>
      <c r="B6" s="31" t="s">
        <v>541</v>
      </c>
      <c r="C6" s="30" t="s">
        <v>39</v>
      </c>
      <c r="D6" s="30" t="s">
        <v>69</v>
      </c>
      <c r="E6" s="32" t="s">
        <v>515</v>
      </c>
      <c r="F6" s="8">
        <v>3</v>
      </c>
      <c r="G6" s="9">
        <v>2020</v>
      </c>
      <c r="I6" s="10">
        <f t="shared" si="0"/>
        <v>3</v>
      </c>
      <c r="J6" s="10">
        <f t="shared" si="0"/>
        <v>3</v>
      </c>
      <c r="K6" s="10">
        <f t="shared" si="0"/>
        <v>3</v>
      </c>
      <c r="L6" s="10">
        <f t="shared" si="0"/>
        <v>3</v>
      </c>
      <c r="M6" s="10">
        <f t="shared" si="0"/>
        <v>3</v>
      </c>
    </row>
    <row r="7" spans="1:13" ht="12.75">
      <c r="A7" s="6">
        <v>3</v>
      </c>
      <c r="B7" s="1" t="s">
        <v>548</v>
      </c>
      <c r="C7" s="2" t="s">
        <v>40</v>
      </c>
      <c r="D7" s="2" t="s">
        <v>82</v>
      </c>
      <c r="E7" s="2" t="s">
        <v>515</v>
      </c>
      <c r="F7" s="8">
        <v>3</v>
      </c>
      <c r="G7" s="9">
        <v>2020</v>
      </c>
      <c r="I7" s="10">
        <f t="shared" si="0"/>
        <v>3</v>
      </c>
      <c r="J7" s="10">
        <f t="shared" si="0"/>
        <v>3</v>
      </c>
      <c r="K7" s="10">
        <f t="shared" si="0"/>
        <v>3</v>
      </c>
      <c r="L7" s="10">
        <f t="shared" si="0"/>
        <v>3</v>
      </c>
      <c r="M7" s="10">
        <f t="shared" si="0"/>
        <v>3</v>
      </c>
    </row>
    <row r="8" spans="1:13" ht="12.75">
      <c r="A8" s="6">
        <v>4</v>
      </c>
      <c r="B8" s="1" t="s">
        <v>569</v>
      </c>
      <c r="C8" s="2" t="s">
        <v>43</v>
      </c>
      <c r="D8" s="2" t="s">
        <v>89</v>
      </c>
      <c r="E8" s="2" t="s">
        <v>515</v>
      </c>
      <c r="F8" s="8">
        <v>3</v>
      </c>
      <c r="G8" s="9">
        <v>2020</v>
      </c>
      <c r="I8" s="10">
        <f t="shared" si="0"/>
        <v>3</v>
      </c>
      <c r="J8" s="10">
        <f t="shared" si="0"/>
        <v>3</v>
      </c>
      <c r="K8" s="10">
        <f t="shared" si="0"/>
        <v>3</v>
      </c>
      <c r="L8" s="10">
        <f t="shared" si="0"/>
        <v>3</v>
      </c>
      <c r="M8" s="10">
        <f t="shared" si="0"/>
        <v>3</v>
      </c>
    </row>
    <row r="9" spans="1:13" ht="12.75">
      <c r="A9" s="6">
        <v>5</v>
      </c>
      <c r="B9" s="31" t="s">
        <v>388</v>
      </c>
      <c r="C9" s="2" t="s">
        <v>39</v>
      </c>
      <c r="D9" s="2" t="s">
        <v>531</v>
      </c>
      <c r="E9" s="7" t="s">
        <v>386</v>
      </c>
      <c r="F9" s="8">
        <v>21.75</v>
      </c>
      <c r="G9" s="11">
        <v>2019</v>
      </c>
      <c r="I9" s="10">
        <f t="shared" si="0"/>
        <v>21.75</v>
      </c>
      <c r="J9" s="10">
        <f t="shared" si="0"/>
        <v>21.75</v>
      </c>
      <c r="K9" s="10">
        <f t="shared" si="0"/>
        <v>21.75</v>
      </c>
      <c r="L9" s="10">
        <f t="shared" si="0"/>
        <v>21.75</v>
      </c>
      <c r="M9" s="10">
        <f t="shared" si="0"/>
        <v>0</v>
      </c>
    </row>
    <row r="10" spans="1:13" ht="12.75">
      <c r="A10" s="6">
        <v>6</v>
      </c>
      <c r="B10" s="31" t="s">
        <v>463</v>
      </c>
      <c r="C10" s="2" t="s">
        <v>38</v>
      </c>
      <c r="D10" s="2" t="s">
        <v>64</v>
      </c>
      <c r="E10" s="2" t="s">
        <v>427</v>
      </c>
      <c r="F10" s="8">
        <v>8.25</v>
      </c>
      <c r="G10" s="9">
        <v>2019</v>
      </c>
      <c r="I10" s="10">
        <f t="shared" si="0"/>
        <v>8.25</v>
      </c>
      <c r="J10" s="10">
        <f t="shared" si="0"/>
        <v>8.25</v>
      </c>
      <c r="K10" s="10">
        <f t="shared" si="0"/>
        <v>8.25</v>
      </c>
      <c r="L10" s="10">
        <f t="shared" si="0"/>
        <v>8.25</v>
      </c>
      <c r="M10" s="10">
        <f t="shared" si="0"/>
        <v>0</v>
      </c>
    </row>
    <row r="11" spans="1:13" ht="12.75">
      <c r="A11" s="6">
        <v>7</v>
      </c>
      <c r="B11" s="31" t="s">
        <v>389</v>
      </c>
      <c r="C11" s="2" t="s">
        <v>41</v>
      </c>
      <c r="D11" s="2" t="s">
        <v>83</v>
      </c>
      <c r="E11" s="2" t="s">
        <v>386</v>
      </c>
      <c r="F11" s="8">
        <v>2.9</v>
      </c>
      <c r="G11" s="9">
        <v>2019</v>
      </c>
      <c r="I11" s="10">
        <f t="shared" si="0"/>
        <v>2.9</v>
      </c>
      <c r="J11" s="10">
        <f t="shared" si="0"/>
        <v>2.9</v>
      </c>
      <c r="K11" s="10">
        <f t="shared" si="0"/>
        <v>2.9</v>
      </c>
      <c r="L11" s="10">
        <f t="shared" si="0"/>
        <v>2.9</v>
      </c>
      <c r="M11" s="10">
        <f t="shared" si="0"/>
        <v>0</v>
      </c>
    </row>
    <row r="12" spans="1:13" ht="12.75">
      <c r="A12" s="6">
        <v>8</v>
      </c>
      <c r="B12" s="31" t="s">
        <v>281</v>
      </c>
      <c r="C12" s="2" t="s">
        <v>40</v>
      </c>
      <c r="D12" s="2" t="s">
        <v>89</v>
      </c>
      <c r="E12" s="2" t="s">
        <v>371</v>
      </c>
      <c r="F12" s="8">
        <v>20.55</v>
      </c>
      <c r="G12" s="9">
        <v>2018</v>
      </c>
      <c r="I12" s="10">
        <f t="shared" si="0"/>
        <v>20.55</v>
      </c>
      <c r="J12" s="10">
        <f t="shared" si="0"/>
        <v>20.55</v>
      </c>
      <c r="K12" s="10">
        <f t="shared" si="0"/>
        <v>20.55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302</v>
      </c>
      <c r="C13" s="2" t="s">
        <v>40</v>
      </c>
      <c r="D13" s="2" t="s">
        <v>84</v>
      </c>
      <c r="E13" s="2" t="s">
        <v>371</v>
      </c>
      <c r="F13" s="8">
        <v>2.75</v>
      </c>
      <c r="G13" s="9">
        <v>2018</v>
      </c>
      <c r="I13" s="10">
        <f t="shared" si="0"/>
        <v>2.75</v>
      </c>
      <c r="J13" s="10">
        <f t="shared" si="0"/>
        <v>2.75</v>
      </c>
      <c r="K13" s="10">
        <f t="shared" si="0"/>
        <v>2.75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441</v>
      </c>
      <c r="C14" s="2" t="s">
        <v>38</v>
      </c>
      <c r="D14" s="2" t="s">
        <v>68</v>
      </c>
      <c r="E14" s="7" t="s">
        <v>427</v>
      </c>
      <c r="F14" s="12">
        <v>45</v>
      </c>
      <c r="G14" s="9">
        <v>2017</v>
      </c>
      <c r="I14" s="10">
        <f t="shared" si="0"/>
        <v>45</v>
      </c>
      <c r="J14" s="10">
        <f t="shared" si="0"/>
        <v>45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464</v>
      </c>
      <c r="C15" s="30" t="s">
        <v>40</v>
      </c>
      <c r="D15" s="30" t="s">
        <v>85</v>
      </c>
      <c r="E15" s="2" t="s">
        <v>427</v>
      </c>
      <c r="F15" s="8">
        <v>33.35</v>
      </c>
      <c r="G15" s="9">
        <v>2017</v>
      </c>
      <c r="I15" s="10">
        <f aca="true" t="shared" si="1" ref="I15:M29">+IF($G15&gt;=I$3,$F15,0)</f>
        <v>33.35</v>
      </c>
      <c r="J15" s="10">
        <f t="shared" si="1"/>
        <v>33.35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461</v>
      </c>
      <c r="C16" s="2" t="s">
        <v>43</v>
      </c>
      <c r="D16" s="2" t="s">
        <v>64</v>
      </c>
      <c r="E16" s="2" t="s">
        <v>427</v>
      </c>
      <c r="F16" s="12">
        <v>6.25</v>
      </c>
      <c r="G16" s="13">
        <v>2017</v>
      </c>
      <c r="I16" s="10">
        <f t="shared" si="1"/>
        <v>6.25</v>
      </c>
      <c r="J16" s="10">
        <f t="shared" si="1"/>
        <v>6.25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462</v>
      </c>
      <c r="C17" s="2" t="s">
        <v>43</v>
      </c>
      <c r="D17" s="2" t="s">
        <v>80</v>
      </c>
      <c r="E17" s="2" t="s">
        <v>427</v>
      </c>
      <c r="F17" s="12">
        <v>5.2</v>
      </c>
      <c r="G17" s="13">
        <v>2017</v>
      </c>
      <c r="I17" s="10">
        <f t="shared" si="1"/>
        <v>5.2</v>
      </c>
      <c r="J17" s="10">
        <f t="shared" si="1"/>
        <v>5.2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465</v>
      </c>
      <c r="C18" s="30" t="s">
        <v>44</v>
      </c>
      <c r="D18" s="30" t="s">
        <v>61</v>
      </c>
      <c r="E18" s="2" t="s">
        <v>427</v>
      </c>
      <c r="F18" s="8">
        <v>4.75</v>
      </c>
      <c r="G18" s="9">
        <v>2017</v>
      </c>
      <c r="I18" s="10">
        <f t="shared" si="1"/>
        <v>4.75</v>
      </c>
      <c r="J18" s="10">
        <f t="shared" si="1"/>
        <v>4.75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489</v>
      </c>
      <c r="C19" s="2" t="s">
        <v>42</v>
      </c>
      <c r="D19" s="2" t="s">
        <v>71</v>
      </c>
      <c r="E19" s="2" t="s">
        <v>427</v>
      </c>
      <c r="F19" s="8">
        <v>3.15</v>
      </c>
      <c r="G19" s="9">
        <v>2017</v>
      </c>
      <c r="I19" s="10">
        <f t="shared" si="1"/>
        <v>3.15</v>
      </c>
      <c r="J19" s="10">
        <f t="shared" si="1"/>
        <v>3.15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434</v>
      </c>
      <c r="C20" s="2" t="s">
        <v>40</v>
      </c>
      <c r="D20" s="2" t="s">
        <v>87</v>
      </c>
      <c r="E20" s="2" t="s">
        <v>427</v>
      </c>
      <c r="F20" s="8">
        <v>32.25</v>
      </c>
      <c r="G20" s="9">
        <v>2016</v>
      </c>
      <c r="I20" s="10">
        <f t="shared" si="1"/>
        <v>32.25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117</v>
      </c>
      <c r="C21" s="30" t="s">
        <v>40</v>
      </c>
      <c r="D21" s="30" t="s">
        <v>55</v>
      </c>
      <c r="E21" s="32" t="s">
        <v>374</v>
      </c>
      <c r="F21" s="12">
        <v>9.4</v>
      </c>
      <c r="G21" s="13">
        <v>2016</v>
      </c>
      <c r="I21" s="10">
        <f t="shared" si="1"/>
        <v>9.4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356</v>
      </c>
      <c r="C22" s="2" t="s">
        <v>43</v>
      </c>
      <c r="D22" s="2" t="s">
        <v>72</v>
      </c>
      <c r="E22" s="2" t="s">
        <v>372</v>
      </c>
      <c r="F22" s="8">
        <v>3</v>
      </c>
      <c r="G22" s="9">
        <v>2016</v>
      </c>
      <c r="I22" s="10">
        <f t="shared" si="1"/>
        <v>3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695</v>
      </c>
      <c r="C23" s="2" t="s">
        <v>44</v>
      </c>
      <c r="D23" s="2" t="s">
        <v>69</v>
      </c>
      <c r="E23" s="2" t="s">
        <v>691</v>
      </c>
      <c r="F23" s="8">
        <v>3</v>
      </c>
      <c r="G23" s="9">
        <v>2016</v>
      </c>
      <c r="I23" s="10">
        <f t="shared" si="1"/>
        <v>3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703</v>
      </c>
      <c r="C24" s="2" t="s">
        <v>44</v>
      </c>
      <c r="D24" s="2" t="s">
        <v>55</v>
      </c>
      <c r="E24" s="2" t="s">
        <v>691</v>
      </c>
      <c r="F24" s="8">
        <v>3</v>
      </c>
      <c r="G24" s="9">
        <v>2016</v>
      </c>
      <c r="I24" s="10">
        <f t="shared" si="1"/>
        <v>3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706</v>
      </c>
      <c r="C25" s="2" t="s">
        <v>43</v>
      </c>
      <c r="D25" s="2" t="s">
        <v>88</v>
      </c>
      <c r="E25" s="7" t="s">
        <v>691</v>
      </c>
      <c r="F25" s="8">
        <v>3</v>
      </c>
      <c r="G25" s="13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720</v>
      </c>
      <c r="C26" s="2" t="s">
        <v>43</v>
      </c>
      <c r="D26" s="2" t="s">
        <v>84</v>
      </c>
      <c r="E26" s="2" t="s">
        <v>691</v>
      </c>
      <c r="F26" s="12">
        <v>3</v>
      </c>
      <c r="G26" s="13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794</v>
      </c>
      <c r="C27" s="2" t="s">
        <v>41</v>
      </c>
      <c r="D27" s="2" t="s">
        <v>61</v>
      </c>
      <c r="E27" s="7" t="s">
        <v>691</v>
      </c>
      <c r="F27" s="8">
        <v>3</v>
      </c>
      <c r="G27" s="11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135</v>
      </c>
      <c r="C28" s="30" t="s">
        <v>39</v>
      </c>
      <c r="D28" s="30" t="s">
        <v>80</v>
      </c>
      <c r="E28" s="32" t="s">
        <v>374</v>
      </c>
      <c r="F28" s="8">
        <v>2.35</v>
      </c>
      <c r="G28" s="9">
        <v>2016</v>
      </c>
      <c r="I28" s="10">
        <f t="shared" si="1"/>
        <v>2.35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148</v>
      </c>
      <c r="C29" s="30" t="s">
        <v>43</v>
      </c>
      <c r="D29" s="30" t="s">
        <v>79</v>
      </c>
      <c r="E29" s="32" t="s">
        <v>374</v>
      </c>
      <c r="F29" s="8">
        <v>2.35</v>
      </c>
      <c r="G29" s="9">
        <v>2016</v>
      </c>
      <c r="I29" s="10">
        <f t="shared" si="1"/>
        <v>2.35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237.75</v>
      </c>
      <c r="J31" s="15">
        <f>+SUM(J5:J29)</f>
        <v>173.4</v>
      </c>
      <c r="K31" s="15">
        <f>+SUM(K5:K29)</f>
        <v>75.7</v>
      </c>
      <c r="L31" s="15">
        <f>+SUM(L5:L29)</f>
        <v>52.4</v>
      </c>
      <c r="M31" s="15">
        <f>+SUM(M5:M29)</f>
        <v>19.5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194</v>
      </c>
      <c r="C37" s="2" t="s">
        <v>39</v>
      </c>
      <c r="D37" s="2" t="s">
        <v>84</v>
      </c>
      <c r="E37" s="2">
        <v>2015</v>
      </c>
      <c r="F37" s="8">
        <v>15.25</v>
      </c>
      <c r="G37" s="9">
        <v>2017</v>
      </c>
      <c r="I37" s="10">
        <f aca="true" t="shared" si="2" ref="I37:I56">+CEILING(IF($I$35=E37,F37,IF($I$35&lt;=G37,F37*0.3,0)),0.05)</f>
        <v>4.6000000000000005</v>
      </c>
      <c r="J37" s="10">
        <f aca="true" t="shared" si="3" ref="J37:J56">+CEILING(IF($J$35&lt;=G37,F37*0.3,0),0.05)</f>
        <v>4.6000000000000005</v>
      </c>
      <c r="K37" s="10">
        <f aca="true" t="shared" si="4" ref="K37:K56">+CEILING(IF($K$35&lt;=G37,F37*0.3,0),0.05)</f>
        <v>0</v>
      </c>
      <c r="L37" s="10">
        <f aca="true" t="shared" si="5" ref="L37:L56">+CEILING(IF($L$35&lt;=G37,F37*0.3,0),0.05)</f>
        <v>0</v>
      </c>
      <c r="M37" s="10">
        <f aca="true" t="shared" si="6" ref="M37:M56">CEILING(IF($M$35&lt;=G37,F37*0.3,0),0.05)</f>
        <v>0</v>
      </c>
    </row>
    <row r="38" spans="1:13" ht="12.75">
      <c r="A38" s="6">
        <v>2</v>
      </c>
      <c r="B38" s="1" t="s">
        <v>216</v>
      </c>
      <c r="C38" s="2" t="s">
        <v>39</v>
      </c>
      <c r="D38" s="2" t="s">
        <v>86</v>
      </c>
      <c r="E38" s="2">
        <v>2014</v>
      </c>
      <c r="F38" s="8">
        <v>5.75</v>
      </c>
      <c r="G38" s="9">
        <v>2017</v>
      </c>
      <c r="I38" s="10">
        <f t="shared" si="2"/>
        <v>1.75</v>
      </c>
      <c r="J38" s="10">
        <f t="shared" si="3"/>
        <v>1.75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195</v>
      </c>
      <c r="C39" s="2" t="s">
        <v>40</v>
      </c>
      <c r="D39" s="2" t="s">
        <v>70</v>
      </c>
      <c r="E39" s="2">
        <v>2014</v>
      </c>
      <c r="F39" s="12">
        <v>2.55</v>
      </c>
      <c r="G39" s="13">
        <v>2017</v>
      </c>
      <c r="I39" s="10">
        <f t="shared" si="2"/>
        <v>0.8</v>
      </c>
      <c r="J39" s="10">
        <f t="shared" si="3"/>
        <v>0.8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134</v>
      </c>
      <c r="C40" s="30" t="s">
        <v>40</v>
      </c>
      <c r="D40" s="30" t="s">
        <v>72</v>
      </c>
      <c r="E40" s="32">
        <v>2014</v>
      </c>
      <c r="F40" s="8">
        <v>2.35</v>
      </c>
      <c r="G40" s="9">
        <v>2016</v>
      </c>
      <c r="I40" s="10">
        <f t="shared" si="2"/>
        <v>0.75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/>
      <c r="D41" s="2"/>
      <c r="E41" s="2"/>
      <c r="F41" s="8"/>
      <c r="G41" s="9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D42" s="2"/>
      <c r="E42" s="2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4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D44" s="2"/>
      <c r="E44" s="2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4"/>
      <c r="D45" s="2"/>
      <c r="E45" s="7"/>
      <c r="F45" s="8"/>
      <c r="G45" s="13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2"/>
      <c r="F47" s="12"/>
      <c r="G47" s="13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2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D49" s="2"/>
      <c r="E49" s="2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D50" s="2"/>
      <c r="E50" s="2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18"/>
      <c r="D51" s="2"/>
      <c r="E51" s="2"/>
      <c r="F51" s="8"/>
      <c r="G51" s="9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D52" s="2"/>
      <c r="E52" s="7"/>
      <c r="F52" s="8"/>
      <c r="G52" s="9"/>
      <c r="I52" s="10">
        <f t="shared" si="2"/>
        <v>0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.75">
      <c r="A53" s="6">
        <v>17</v>
      </c>
      <c r="B53" s="18"/>
      <c r="D53" s="2"/>
      <c r="E53" s="2"/>
      <c r="F53" s="8"/>
      <c r="G53" s="9"/>
      <c r="I53" s="10">
        <f t="shared" si="2"/>
        <v>0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.75">
      <c r="A54" s="6">
        <v>18</v>
      </c>
      <c r="B54" s="14"/>
      <c r="D54" s="2"/>
      <c r="E54" s="7"/>
      <c r="F54" s="8"/>
      <c r="G54" s="9"/>
      <c r="I54" s="10">
        <f t="shared" si="2"/>
        <v>0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.75">
      <c r="A55" s="6">
        <v>19</v>
      </c>
      <c r="D55" s="2"/>
      <c r="E55" s="2"/>
      <c r="F55" s="12"/>
      <c r="G55" s="13"/>
      <c r="I55" s="10">
        <f t="shared" si="2"/>
        <v>0</v>
      </c>
      <c r="J55" s="10">
        <f t="shared" si="3"/>
        <v>0</v>
      </c>
      <c r="K55" s="10">
        <f t="shared" si="4"/>
        <v>0</v>
      </c>
      <c r="L55" s="10">
        <f t="shared" si="5"/>
        <v>0</v>
      </c>
      <c r="M55" s="10">
        <f t="shared" si="6"/>
        <v>0</v>
      </c>
    </row>
    <row r="56" spans="1:13" ht="12.75">
      <c r="A56" s="6">
        <v>20</v>
      </c>
      <c r="D56" s="2"/>
      <c r="E56" s="2"/>
      <c r="F56" s="12"/>
      <c r="G56" s="13"/>
      <c r="I56" s="10">
        <f t="shared" si="2"/>
        <v>0</v>
      </c>
      <c r="J56" s="10">
        <f t="shared" si="3"/>
        <v>0</v>
      </c>
      <c r="K56" s="10">
        <f t="shared" si="4"/>
        <v>0</v>
      </c>
      <c r="L56" s="10">
        <f t="shared" si="5"/>
        <v>0</v>
      </c>
      <c r="M56" s="10">
        <f t="shared" si="6"/>
        <v>0</v>
      </c>
    </row>
    <row r="57" spans="9:13" ht="7.5" customHeight="1">
      <c r="I57" s="14"/>
      <c r="J57" s="14"/>
      <c r="K57" s="14"/>
      <c r="L57" s="14"/>
      <c r="M57" s="14"/>
    </row>
    <row r="58" spans="9:13" ht="12.75">
      <c r="I58" s="15">
        <f>+SUM(I37:I57)</f>
        <v>7.9</v>
      </c>
      <c r="J58" s="15">
        <f>+SUM(J37:J57)</f>
        <v>7.15</v>
      </c>
      <c r="K58" s="15">
        <f>+SUM(K37:K57)</f>
        <v>0</v>
      </c>
      <c r="L58" s="15">
        <f>+SUM(L37:L57)</f>
        <v>0</v>
      </c>
      <c r="M58" s="15">
        <f>+SUM(M37:M57)</f>
        <v>0</v>
      </c>
    </row>
    <row r="59" spans="9:13" ht="12.75">
      <c r="I59" s="16"/>
      <c r="J59" s="16"/>
      <c r="K59" s="16"/>
      <c r="L59" s="16"/>
      <c r="M5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581</v>
      </c>
      <c r="C5" s="2" t="s">
        <v>42</v>
      </c>
      <c r="D5" s="2" t="s">
        <v>78</v>
      </c>
      <c r="E5" s="7" t="s">
        <v>557</v>
      </c>
      <c r="F5" s="8">
        <v>9.5</v>
      </c>
      <c r="G5" s="9">
        <v>2020</v>
      </c>
      <c r="I5" s="10">
        <f aca="true" t="shared" si="0" ref="I5:M14">+IF($G5&gt;=I$3,$F5,0)</f>
        <v>9.5</v>
      </c>
      <c r="J5" s="10">
        <f t="shared" si="0"/>
        <v>9.5</v>
      </c>
      <c r="K5" s="10">
        <f t="shared" si="0"/>
        <v>9.5</v>
      </c>
      <c r="L5" s="10">
        <f t="shared" si="0"/>
        <v>9.5</v>
      </c>
      <c r="M5" s="10">
        <f t="shared" si="0"/>
        <v>9.5</v>
      </c>
    </row>
    <row r="6" spans="1:13" ht="12.75">
      <c r="A6" s="6">
        <v>2</v>
      </c>
      <c r="B6" s="31" t="s">
        <v>527</v>
      </c>
      <c r="C6" s="30" t="s">
        <v>39</v>
      </c>
      <c r="D6" s="30" t="s">
        <v>68</v>
      </c>
      <c r="E6" s="32" t="s">
        <v>515</v>
      </c>
      <c r="F6" s="8">
        <v>6.75</v>
      </c>
      <c r="G6" s="9">
        <v>2020</v>
      </c>
      <c r="I6" s="10">
        <f t="shared" si="0"/>
        <v>6.75</v>
      </c>
      <c r="J6" s="10">
        <f t="shared" si="0"/>
        <v>6.75</v>
      </c>
      <c r="K6" s="10">
        <f t="shared" si="0"/>
        <v>6.75</v>
      </c>
      <c r="L6" s="10">
        <f t="shared" si="0"/>
        <v>6.75</v>
      </c>
      <c r="M6" s="10">
        <f t="shared" si="0"/>
        <v>6.75</v>
      </c>
    </row>
    <row r="7" spans="1:13" ht="12.75">
      <c r="A7" s="6">
        <v>3</v>
      </c>
      <c r="B7" s="31" t="s">
        <v>528</v>
      </c>
      <c r="C7" s="2" t="s">
        <v>40</v>
      </c>
      <c r="D7" s="30" t="s">
        <v>88</v>
      </c>
      <c r="E7" s="7" t="s">
        <v>515</v>
      </c>
      <c r="F7" s="8">
        <v>3</v>
      </c>
      <c r="G7" s="9">
        <v>2020</v>
      </c>
      <c r="I7" s="10">
        <f t="shared" si="0"/>
        <v>3</v>
      </c>
      <c r="J7" s="10">
        <f t="shared" si="0"/>
        <v>3</v>
      </c>
      <c r="K7" s="10">
        <f t="shared" si="0"/>
        <v>3</v>
      </c>
      <c r="L7" s="10">
        <f t="shared" si="0"/>
        <v>3</v>
      </c>
      <c r="M7" s="10">
        <f t="shared" si="0"/>
        <v>3</v>
      </c>
    </row>
    <row r="8" spans="1:13" ht="12.75">
      <c r="A8" s="6">
        <v>4</v>
      </c>
      <c r="B8" s="31" t="s">
        <v>678</v>
      </c>
      <c r="C8" s="2" t="s">
        <v>39</v>
      </c>
      <c r="D8" s="2" t="s">
        <v>86</v>
      </c>
      <c r="E8" s="7" t="s">
        <v>557</v>
      </c>
      <c r="F8" s="8">
        <v>3</v>
      </c>
      <c r="G8" s="9">
        <v>2020</v>
      </c>
      <c r="I8" s="10">
        <f t="shared" si="0"/>
        <v>3</v>
      </c>
      <c r="J8" s="10">
        <f t="shared" si="0"/>
        <v>3</v>
      </c>
      <c r="K8" s="10">
        <f t="shared" si="0"/>
        <v>3</v>
      </c>
      <c r="L8" s="10">
        <f t="shared" si="0"/>
        <v>3</v>
      </c>
      <c r="M8" s="10">
        <f t="shared" si="0"/>
        <v>3</v>
      </c>
    </row>
    <row r="9" spans="1:13" ht="12.75">
      <c r="A9" s="6">
        <v>5</v>
      </c>
      <c r="B9" s="31" t="s">
        <v>410</v>
      </c>
      <c r="C9" s="2" t="s">
        <v>40</v>
      </c>
      <c r="D9" s="2" t="s">
        <v>55</v>
      </c>
      <c r="E9" s="7" t="s">
        <v>386</v>
      </c>
      <c r="F9" s="8">
        <v>4.35</v>
      </c>
      <c r="G9" s="9">
        <v>2019</v>
      </c>
      <c r="I9" s="10">
        <f t="shared" si="0"/>
        <v>4.35</v>
      </c>
      <c r="J9" s="10">
        <f t="shared" si="0"/>
        <v>4.35</v>
      </c>
      <c r="K9" s="10">
        <f t="shared" si="0"/>
        <v>4.35</v>
      </c>
      <c r="L9" s="10">
        <f t="shared" si="0"/>
        <v>4.35</v>
      </c>
      <c r="M9" s="10">
        <f t="shared" si="0"/>
        <v>0</v>
      </c>
    </row>
    <row r="10" spans="1:13" ht="12.75">
      <c r="A10" s="6">
        <v>6</v>
      </c>
      <c r="B10" s="31" t="s">
        <v>420</v>
      </c>
      <c r="C10" s="2" t="s">
        <v>41</v>
      </c>
      <c r="D10" s="2" t="s">
        <v>62</v>
      </c>
      <c r="E10" s="7" t="s">
        <v>386</v>
      </c>
      <c r="F10" s="8">
        <v>2.9</v>
      </c>
      <c r="G10" s="11">
        <v>2019</v>
      </c>
      <c r="I10" s="10">
        <f t="shared" si="0"/>
        <v>2.9</v>
      </c>
      <c r="J10" s="10">
        <f t="shared" si="0"/>
        <v>2.9</v>
      </c>
      <c r="K10" s="10">
        <f t="shared" si="0"/>
        <v>2.9</v>
      </c>
      <c r="L10" s="10">
        <f t="shared" si="0"/>
        <v>2.9</v>
      </c>
      <c r="M10" s="10">
        <f t="shared" si="0"/>
        <v>0</v>
      </c>
    </row>
    <row r="11" spans="1:13" ht="12.75">
      <c r="A11" s="6">
        <v>7</v>
      </c>
      <c r="B11" s="31" t="s">
        <v>284</v>
      </c>
      <c r="C11" s="2" t="s">
        <v>40</v>
      </c>
      <c r="D11" s="2" t="s">
        <v>63</v>
      </c>
      <c r="E11" s="7" t="s">
        <v>371</v>
      </c>
      <c r="F11" s="8">
        <v>15.1</v>
      </c>
      <c r="G11" s="9">
        <v>2018</v>
      </c>
      <c r="I11" s="10">
        <f t="shared" si="0"/>
        <v>15.1</v>
      </c>
      <c r="J11" s="10">
        <f t="shared" si="0"/>
        <v>15.1</v>
      </c>
      <c r="K11" s="10">
        <f t="shared" si="0"/>
        <v>15.1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644</v>
      </c>
      <c r="C12" s="2" t="s">
        <v>43</v>
      </c>
      <c r="D12" s="2" t="s">
        <v>60</v>
      </c>
      <c r="E12" s="7" t="s">
        <v>557</v>
      </c>
      <c r="F12" s="12">
        <v>3.5</v>
      </c>
      <c r="G12" s="13">
        <v>2018</v>
      </c>
      <c r="I12" s="10">
        <f t="shared" si="0"/>
        <v>3.5</v>
      </c>
      <c r="J12" s="10">
        <f t="shared" si="0"/>
        <v>3.5</v>
      </c>
      <c r="K12" s="10">
        <f t="shared" si="0"/>
        <v>3.5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306</v>
      </c>
      <c r="C13" s="2" t="s">
        <v>38</v>
      </c>
      <c r="D13" s="2" t="s">
        <v>62</v>
      </c>
      <c r="E13" s="7" t="s">
        <v>371</v>
      </c>
      <c r="F13" s="12">
        <v>2.75</v>
      </c>
      <c r="G13" s="13">
        <v>2018</v>
      </c>
      <c r="I13" s="10">
        <f t="shared" si="0"/>
        <v>2.75</v>
      </c>
      <c r="J13" s="10">
        <f t="shared" si="0"/>
        <v>2.75</v>
      </c>
      <c r="K13" s="10">
        <f t="shared" si="0"/>
        <v>2.75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93</v>
      </c>
      <c r="C14" s="2" t="s">
        <v>40</v>
      </c>
      <c r="D14" s="2" t="s">
        <v>86</v>
      </c>
      <c r="E14" s="7" t="s">
        <v>56</v>
      </c>
      <c r="F14" s="8">
        <v>30.6</v>
      </c>
      <c r="G14" s="9">
        <v>2017</v>
      </c>
      <c r="I14" s="10">
        <f t="shared" si="0"/>
        <v>30.6</v>
      </c>
      <c r="J14" s="10">
        <f t="shared" si="0"/>
        <v>30.6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191</v>
      </c>
      <c r="C15" s="2" t="s">
        <v>39</v>
      </c>
      <c r="D15" s="2" t="s">
        <v>78</v>
      </c>
      <c r="E15" s="7" t="s">
        <v>56</v>
      </c>
      <c r="F15" s="8">
        <v>17.8</v>
      </c>
      <c r="G15" s="9">
        <v>2017</v>
      </c>
      <c r="I15" s="10">
        <f aca="true" t="shared" si="1" ref="I15:M29">+IF($G15&gt;=I$3,$F15,0)</f>
        <v>17.8</v>
      </c>
      <c r="J15" s="10">
        <f t="shared" si="1"/>
        <v>17.8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451</v>
      </c>
      <c r="C16" s="2" t="s">
        <v>43</v>
      </c>
      <c r="D16" s="2" t="s">
        <v>85</v>
      </c>
      <c r="E16" s="2" t="s">
        <v>427</v>
      </c>
      <c r="F16" s="8">
        <v>9.5</v>
      </c>
      <c r="G16" s="9">
        <v>2017</v>
      </c>
      <c r="I16" s="10">
        <f t="shared" si="1"/>
        <v>9.5</v>
      </c>
      <c r="J16" s="10">
        <f t="shared" si="1"/>
        <v>9.5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270</v>
      </c>
      <c r="C17" s="2" t="s">
        <v>39</v>
      </c>
      <c r="D17" s="2" t="s">
        <v>71</v>
      </c>
      <c r="E17" s="7" t="s">
        <v>56</v>
      </c>
      <c r="F17" s="8">
        <v>5.45</v>
      </c>
      <c r="G17" s="9">
        <v>2017</v>
      </c>
      <c r="I17" s="10">
        <f t="shared" si="1"/>
        <v>5.45</v>
      </c>
      <c r="J17" s="10">
        <f t="shared" si="1"/>
        <v>5.45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260</v>
      </c>
      <c r="C18" s="2" t="s">
        <v>44</v>
      </c>
      <c r="D18" s="2" t="s">
        <v>80</v>
      </c>
      <c r="E18" s="7" t="s">
        <v>56</v>
      </c>
      <c r="F18" s="8">
        <v>2.55</v>
      </c>
      <c r="G18" s="9">
        <v>2017</v>
      </c>
      <c r="I18" s="10">
        <f t="shared" si="1"/>
        <v>2.55</v>
      </c>
      <c r="J18" s="10">
        <f t="shared" si="1"/>
        <v>2.55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589</v>
      </c>
      <c r="C19" s="2" t="s">
        <v>40</v>
      </c>
      <c r="D19" s="2" t="s">
        <v>59</v>
      </c>
      <c r="E19" s="7" t="s">
        <v>557</v>
      </c>
      <c r="F19" s="8">
        <v>80.25</v>
      </c>
      <c r="G19" s="9">
        <v>2016</v>
      </c>
      <c r="I19" s="10">
        <f t="shared" si="1"/>
        <v>80.25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565</v>
      </c>
      <c r="C20" s="2" t="s">
        <v>39</v>
      </c>
      <c r="D20" s="2" t="s">
        <v>63</v>
      </c>
      <c r="E20" s="7" t="s">
        <v>557</v>
      </c>
      <c r="F20" s="8">
        <v>72.25</v>
      </c>
      <c r="G20" s="9">
        <v>2016</v>
      </c>
      <c r="I20" s="10">
        <f t="shared" si="1"/>
        <v>72.25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579</v>
      </c>
      <c r="C21" s="2" t="s">
        <v>43</v>
      </c>
      <c r="D21" s="2" t="s">
        <v>58</v>
      </c>
      <c r="E21" s="7" t="s">
        <v>557</v>
      </c>
      <c r="F21" s="8">
        <v>12</v>
      </c>
      <c r="G21" s="9">
        <v>2016</v>
      </c>
      <c r="I21" s="10">
        <f t="shared" si="1"/>
        <v>12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580</v>
      </c>
      <c r="C22" s="2" t="s">
        <v>44</v>
      </c>
      <c r="D22" s="2" t="s">
        <v>58</v>
      </c>
      <c r="E22" s="7" t="s">
        <v>557</v>
      </c>
      <c r="F22" s="8">
        <v>7.75</v>
      </c>
      <c r="G22" s="9">
        <v>2016</v>
      </c>
      <c r="I22" s="10">
        <f t="shared" si="1"/>
        <v>7.75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670</v>
      </c>
      <c r="C23" s="2" t="s">
        <v>43</v>
      </c>
      <c r="D23" s="2" t="s">
        <v>55</v>
      </c>
      <c r="E23" s="7" t="s">
        <v>557</v>
      </c>
      <c r="F23" s="8">
        <v>3.25</v>
      </c>
      <c r="G23" s="9">
        <v>2016</v>
      </c>
      <c r="I23" s="10">
        <f t="shared" si="1"/>
        <v>3.25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774</v>
      </c>
      <c r="C24" s="2" t="s">
        <v>43</v>
      </c>
      <c r="D24" s="30" t="s">
        <v>87</v>
      </c>
      <c r="E24" s="7" t="s">
        <v>691</v>
      </c>
      <c r="F24" s="8">
        <v>3</v>
      </c>
      <c r="G24" s="9">
        <v>2016</v>
      </c>
      <c r="I24" s="10">
        <f t="shared" si="1"/>
        <v>3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743</v>
      </c>
      <c r="C25" s="2" t="s">
        <v>40</v>
      </c>
      <c r="D25" s="2" t="s">
        <v>702</v>
      </c>
      <c r="E25" s="7" t="s">
        <v>691</v>
      </c>
      <c r="F25" s="8">
        <v>3</v>
      </c>
      <c r="G25" s="9">
        <v>2016</v>
      </c>
      <c r="I25" s="10">
        <f t="shared" si="1"/>
        <v>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759</v>
      </c>
      <c r="C26" s="30" t="s">
        <v>44</v>
      </c>
      <c r="D26" s="30" t="s">
        <v>84</v>
      </c>
      <c r="E26" s="32" t="s">
        <v>691</v>
      </c>
      <c r="F26" s="8">
        <v>3</v>
      </c>
      <c r="G26" s="9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362</v>
      </c>
      <c r="C27" s="2" t="s">
        <v>41</v>
      </c>
      <c r="D27" s="2" t="s">
        <v>59</v>
      </c>
      <c r="E27" s="7" t="s">
        <v>691</v>
      </c>
      <c r="F27" s="8">
        <v>3</v>
      </c>
      <c r="G27" s="9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701</v>
      </c>
      <c r="C28" s="2" t="s">
        <v>40</v>
      </c>
      <c r="D28" s="2" t="s">
        <v>702</v>
      </c>
      <c r="E28" s="7" t="s">
        <v>691</v>
      </c>
      <c r="F28" s="8">
        <v>3</v>
      </c>
      <c r="G28" s="9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792</v>
      </c>
      <c r="C29" s="2" t="s">
        <v>44</v>
      </c>
      <c r="D29" s="2" t="s">
        <v>80</v>
      </c>
      <c r="E29" s="7" t="s">
        <v>691</v>
      </c>
      <c r="F29" s="8">
        <v>3</v>
      </c>
      <c r="G29" s="9">
        <v>2016</v>
      </c>
      <c r="I29" s="10">
        <f t="shared" si="1"/>
        <v>3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1"/>
      <c r="D31" s="2"/>
      <c r="E31" s="7"/>
      <c r="F31" s="8"/>
      <c r="G31" s="9"/>
      <c r="I31" s="15">
        <f>+SUM(I5:I29)</f>
        <v>310.25</v>
      </c>
      <c r="J31" s="15">
        <f>+SUM(J5:J29)</f>
        <v>116.75</v>
      </c>
      <c r="K31" s="15">
        <f>+SUM(K5:K29)</f>
        <v>50.85</v>
      </c>
      <c r="L31" s="15">
        <f>+SUM(L5:L29)</f>
        <v>29.5</v>
      </c>
      <c r="M31" s="15">
        <f>+SUM(M5:M29)</f>
        <v>22.25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496</v>
      </c>
      <c r="C37" s="2" t="s">
        <v>40</v>
      </c>
      <c r="D37" s="2" t="s">
        <v>73</v>
      </c>
      <c r="E37" s="7">
        <v>2015</v>
      </c>
      <c r="F37" s="12">
        <v>11.5</v>
      </c>
      <c r="G37" s="13">
        <v>2017</v>
      </c>
      <c r="I37" s="10">
        <f aca="true" t="shared" si="2" ref="I37:I43">+CEILING(IF($I$35=E37,F37,IF($I$35&lt;=G37,F37*0.3,0)),0.05)</f>
        <v>3.45</v>
      </c>
      <c r="J37" s="10">
        <f aca="true" t="shared" si="3" ref="J37:J43">+CEILING(IF($J$35&lt;=G37,F37*0.3,0),0.05)</f>
        <v>3.45</v>
      </c>
      <c r="K37" s="10">
        <f aca="true" t="shared" si="4" ref="K37:K43">+CEILING(IF($K$35&lt;=G37,F37*0.3,0),0.05)</f>
        <v>0</v>
      </c>
      <c r="L37" s="10">
        <f aca="true" t="shared" si="5" ref="L37:L43">+CEILING(IF($L$35&lt;=G37,F37*0.3,0),0.05)</f>
        <v>0</v>
      </c>
      <c r="M37" s="10">
        <f aca="true" t="shared" si="6" ref="M37:M43">CEILING(IF($M$35&lt;=G37,F37*0.3,0),0.05)</f>
        <v>0</v>
      </c>
    </row>
    <row r="38" spans="1:13" ht="12.75">
      <c r="A38" s="6">
        <v>2</v>
      </c>
      <c r="B38" s="33" t="s">
        <v>105</v>
      </c>
      <c r="C38" s="2" t="s">
        <v>43</v>
      </c>
      <c r="D38" s="30" t="s">
        <v>64</v>
      </c>
      <c r="E38" s="7">
        <v>2016</v>
      </c>
      <c r="F38" s="8">
        <v>8.75</v>
      </c>
      <c r="G38" s="9">
        <v>2017</v>
      </c>
      <c r="I38" s="10">
        <f t="shared" si="2"/>
        <v>8.75</v>
      </c>
      <c r="J38" s="10">
        <f t="shared" si="3"/>
        <v>2.6500000000000004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3" t="s">
        <v>272</v>
      </c>
      <c r="C39" s="2" t="s">
        <v>44</v>
      </c>
      <c r="D39" s="30" t="s">
        <v>83</v>
      </c>
      <c r="E39" s="7">
        <v>2014</v>
      </c>
      <c r="F39" s="8">
        <v>4.2</v>
      </c>
      <c r="G39" s="9">
        <v>2017</v>
      </c>
      <c r="I39" s="10">
        <f t="shared" si="2"/>
        <v>1.3</v>
      </c>
      <c r="J39" s="10">
        <f t="shared" si="3"/>
        <v>1.3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252</v>
      </c>
      <c r="C40" s="2" t="s">
        <v>43</v>
      </c>
      <c r="D40" s="2" t="s">
        <v>63</v>
      </c>
      <c r="E40" s="7">
        <v>2015</v>
      </c>
      <c r="F40" s="12">
        <v>3.3</v>
      </c>
      <c r="G40" s="13">
        <v>2017</v>
      </c>
      <c r="I40" s="10">
        <f t="shared" si="2"/>
        <v>1</v>
      </c>
      <c r="J40" s="10">
        <f t="shared" si="3"/>
        <v>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234</v>
      </c>
      <c r="C41" s="2" t="s">
        <v>39</v>
      </c>
      <c r="D41" s="2" t="s">
        <v>61</v>
      </c>
      <c r="E41" s="7">
        <v>2016</v>
      </c>
      <c r="F41" s="8">
        <v>13.75</v>
      </c>
      <c r="G41" s="9">
        <v>2016</v>
      </c>
      <c r="I41" s="10">
        <f t="shared" si="2"/>
        <v>13.75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115</v>
      </c>
      <c r="C42" s="30" t="s">
        <v>39</v>
      </c>
      <c r="D42" s="30" t="s">
        <v>68</v>
      </c>
      <c r="E42" s="32">
        <v>2013</v>
      </c>
      <c r="F42" s="8">
        <v>11.7</v>
      </c>
      <c r="G42" s="9">
        <v>2016</v>
      </c>
      <c r="I42" s="10">
        <f t="shared" si="2"/>
        <v>3.5500000000000003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161</v>
      </c>
      <c r="C43" s="2" t="s">
        <v>42</v>
      </c>
      <c r="D43" s="2" t="s">
        <v>64</v>
      </c>
      <c r="E43" s="7">
        <v>2012</v>
      </c>
      <c r="F43" s="12">
        <v>6</v>
      </c>
      <c r="G43" s="13">
        <v>2016</v>
      </c>
      <c r="I43" s="10">
        <f t="shared" si="2"/>
        <v>1.8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694</v>
      </c>
      <c r="C44" s="2" t="s">
        <v>41</v>
      </c>
      <c r="D44" s="2" t="s">
        <v>78</v>
      </c>
      <c r="E44" s="7">
        <v>2016</v>
      </c>
      <c r="F44" s="8">
        <v>3</v>
      </c>
      <c r="G44" s="9">
        <v>2016</v>
      </c>
      <c r="I44" s="10">
        <f aca="true" t="shared" si="7" ref="I44:I52">+CEILING(IF($I$35=E44,F44,IF($I$35&lt;=G44,F44*0.3,0)),0.05)</f>
        <v>3</v>
      </c>
      <c r="J44" s="10">
        <f aca="true" t="shared" si="8" ref="J44:J52">+CEILING(IF($J$35&lt;=G44,F44*0.3,0),0.05)</f>
        <v>0</v>
      </c>
      <c r="K44" s="10">
        <f aca="true" t="shared" si="9" ref="K44:K52">+CEILING(IF($K$35&lt;=G44,F44*0.3,0),0.05)</f>
        <v>0</v>
      </c>
      <c r="L44" s="10">
        <f aca="true" t="shared" si="10" ref="L44:L52">+CEILING(IF($L$35&lt;=G44,F44*0.3,0),0.05)</f>
        <v>0</v>
      </c>
      <c r="M44" s="10">
        <f aca="true" t="shared" si="11" ref="M44:M52">CEILING(IF($M$35&lt;=G44,F44*0.3,0),0.05)</f>
        <v>0</v>
      </c>
    </row>
    <row r="45" spans="1:13" ht="12.75">
      <c r="A45" s="6">
        <v>9</v>
      </c>
      <c r="B45" s="31" t="s">
        <v>311</v>
      </c>
      <c r="C45" s="2" t="s">
        <v>41</v>
      </c>
      <c r="D45" s="2" t="s">
        <v>87</v>
      </c>
      <c r="E45" s="7">
        <v>2016</v>
      </c>
      <c r="F45" s="8">
        <v>3</v>
      </c>
      <c r="G45" s="9">
        <v>2016</v>
      </c>
      <c r="I45" s="10">
        <f t="shared" si="7"/>
        <v>3</v>
      </c>
      <c r="J45" s="10">
        <f t="shared" si="8"/>
        <v>0</v>
      </c>
      <c r="K45" s="10">
        <f t="shared" si="9"/>
        <v>0</v>
      </c>
      <c r="L45" s="10">
        <f t="shared" si="10"/>
        <v>0</v>
      </c>
      <c r="M45" s="10">
        <f t="shared" si="11"/>
        <v>0</v>
      </c>
    </row>
    <row r="46" spans="1:13" ht="12.75">
      <c r="A46" s="6">
        <v>10</v>
      </c>
      <c r="B46" s="31" t="s">
        <v>791</v>
      </c>
      <c r="C46" s="2" t="s">
        <v>44</v>
      </c>
      <c r="D46" s="2" t="s">
        <v>69</v>
      </c>
      <c r="E46" s="7">
        <v>2016</v>
      </c>
      <c r="F46" s="8">
        <v>3</v>
      </c>
      <c r="G46" s="9">
        <v>2016</v>
      </c>
      <c r="I46" s="10">
        <f t="shared" si="7"/>
        <v>3</v>
      </c>
      <c r="J46" s="10">
        <f t="shared" si="8"/>
        <v>0</v>
      </c>
      <c r="K46" s="10">
        <f t="shared" si="9"/>
        <v>0</v>
      </c>
      <c r="L46" s="10">
        <f t="shared" si="10"/>
        <v>0</v>
      </c>
      <c r="M46" s="10">
        <f t="shared" si="11"/>
        <v>0</v>
      </c>
    </row>
    <row r="47" spans="1:13" ht="12.75">
      <c r="A47" s="6">
        <v>11</v>
      </c>
      <c r="B47" s="31" t="s">
        <v>750</v>
      </c>
      <c r="C47" s="2" t="s">
        <v>42</v>
      </c>
      <c r="D47" s="30" t="s">
        <v>114</v>
      </c>
      <c r="E47" s="7">
        <v>2016</v>
      </c>
      <c r="F47" s="8">
        <v>3</v>
      </c>
      <c r="G47" s="9">
        <v>2016</v>
      </c>
      <c r="I47" s="10">
        <f t="shared" si="7"/>
        <v>3</v>
      </c>
      <c r="J47" s="10">
        <f t="shared" si="8"/>
        <v>0</v>
      </c>
      <c r="K47" s="10">
        <f t="shared" si="9"/>
        <v>0</v>
      </c>
      <c r="L47" s="10">
        <f t="shared" si="10"/>
        <v>0</v>
      </c>
      <c r="M47" s="10">
        <f t="shared" si="11"/>
        <v>0</v>
      </c>
    </row>
    <row r="48" spans="1:13" ht="12.75">
      <c r="A48" s="6">
        <v>12</v>
      </c>
      <c r="B48" s="31" t="s">
        <v>722</v>
      </c>
      <c r="C48" s="2" t="s">
        <v>38</v>
      </c>
      <c r="D48" s="2" t="s">
        <v>62</v>
      </c>
      <c r="E48" s="7">
        <v>2016</v>
      </c>
      <c r="F48" s="8">
        <v>3</v>
      </c>
      <c r="G48" s="9">
        <v>2016</v>
      </c>
      <c r="I48" s="10">
        <f t="shared" si="7"/>
        <v>3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31" t="s">
        <v>793</v>
      </c>
      <c r="C49" s="2" t="s">
        <v>43</v>
      </c>
      <c r="D49" s="2" t="s">
        <v>81</v>
      </c>
      <c r="E49" s="7">
        <v>2016</v>
      </c>
      <c r="F49" s="8">
        <v>3</v>
      </c>
      <c r="G49" s="9">
        <v>2016</v>
      </c>
      <c r="I49" s="10">
        <f t="shared" si="7"/>
        <v>3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31" t="s">
        <v>181</v>
      </c>
      <c r="C50" s="2" t="s">
        <v>41</v>
      </c>
      <c r="D50" s="2" t="s">
        <v>83</v>
      </c>
      <c r="E50" s="2">
        <v>2014</v>
      </c>
      <c r="F50" s="8">
        <v>2.35</v>
      </c>
      <c r="G50" s="9">
        <v>2016</v>
      </c>
      <c r="I50" s="10">
        <f t="shared" si="7"/>
        <v>0.75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B51" s="31" t="s">
        <v>145</v>
      </c>
      <c r="C51" s="30" t="s">
        <v>38</v>
      </c>
      <c r="D51" s="30" t="s">
        <v>60</v>
      </c>
      <c r="E51" s="7">
        <v>2016</v>
      </c>
      <c r="F51" s="8">
        <v>2.35</v>
      </c>
      <c r="G51" s="9">
        <v>2016</v>
      </c>
      <c r="I51" s="10">
        <f t="shared" si="7"/>
        <v>2.35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31"/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B53" s="31"/>
      <c r="D53" s="2"/>
      <c r="E53" s="2"/>
      <c r="F53" s="8"/>
      <c r="G53" s="9"/>
      <c r="I53" s="10">
        <f aca="true" t="shared" si="12" ref="I53:I58">+CEILING(IF($I$35=E53,F53,IF($I$35&lt;=G53,F53*0.3,0)),0.05)</f>
        <v>0</v>
      </c>
      <c r="J53" s="10">
        <f aca="true" t="shared" si="13" ref="J53:J58">+CEILING(IF($J$35&lt;=G53,F53*0.3,0),0.05)</f>
        <v>0</v>
      </c>
      <c r="K53" s="10">
        <f aca="true" t="shared" si="14" ref="K53:K58">+CEILING(IF($K$35&lt;=G53,F53*0.3,0),0.05)</f>
        <v>0</v>
      </c>
      <c r="L53" s="10">
        <f aca="true" t="shared" si="15" ref="L53:L58">+CEILING(IF($L$35&lt;=G53,F53*0.3,0),0.05)</f>
        <v>0</v>
      </c>
      <c r="M53" s="10">
        <f aca="true" t="shared" si="16" ref="M53:M58">CEILING(IF($M$35&lt;=G53,F53*0.3,0),0.05)</f>
        <v>0</v>
      </c>
    </row>
    <row r="54" spans="1:13" ht="12.75">
      <c r="A54" s="6">
        <v>18</v>
      </c>
      <c r="B54" s="31"/>
      <c r="D54" s="2"/>
      <c r="E54" s="7"/>
      <c r="F54" s="8"/>
      <c r="G54" s="9"/>
      <c r="I54" s="10">
        <f t="shared" si="12"/>
        <v>0</v>
      </c>
      <c r="J54" s="10">
        <f t="shared" si="13"/>
        <v>0</v>
      </c>
      <c r="K54" s="10">
        <f t="shared" si="14"/>
        <v>0</v>
      </c>
      <c r="L54" s="10">
        <f t="shared" si="15"/>
        <v>0</v>
      </c>
      <c r="M54" s="10">
        <f t="shared" si="16"/>
        <v>0</v>
      </c>
    </row>
    <row r="55" spans="1:13" ht="12.75">
      <c r="A55" s="6">
        <v>19</v>
      </c>
      <c r="B55" s="31"/>
      <c r="D55" s="2"/>
      <c r="E55" s="2"/>
      <c r="F55" s="8"/>
      <c r="G55" s="9"/>
      <c r="I55" s="10">
        <f t="shared" si="12"/>
        <v>0</v>
      </c>
      <c r="J55" s="10">
        <f t="shared" si="13"/>
        <v>0</v>
      </c>
      <c r="K55" s="10">
        <f t="shared" si="14"/>
        <v>0</v>
      </c>
      <c r="L55" s="10">
        <f t="shared" si="15"/>
        <v>0</v>
      </c>
      <c r="M55" s="10">
        <f t="shared" si="16"/>
        <v>0</v>
      </c>
    </row>
    <row r="56" spans="1:13" ht="12.75">
      <c r="A56" s="6">
        <v>20</v>
      </c>
      <c r="B56" s="33"/>
      <c r="D56" s="30"/>
      <c r="E56" s="7"/>
      <c r="F56" s="8"/>
      <c r="G56" s="9"/>
      <c r="I56" s="10">
        <f t="shared" si="12"/>
        <v>0</v>
      </c>
      <c r="J56" s="10">
        <f t="shared" si="13"/>
        <v>0</v>
      </c>
      <c r="K56" s="10">
        <f t="shared" si="14"/>
        <v>0</v>
      </c>
      <c r="L56" s="10">
        <f t="shared" si="15"/>
        <v>0</v>
      </c>
      <c r="M56" s="10">
        <f t="shared" si="16"/>
        <v>0</v>
      </c>
    </row>
    <row r="57" spans="1:13" ht="12.75">
      <c r="A57" s="6">
        <v>21</v>
      </c>
      <c r="B57" s="31"/>
      <c r="D57" s="2"/>
      <c r="E57" s="7"/>
      <c r="F57" s="8"/>
      <c r="G57" s="9"/>
      <c r="I57" s="10">
        <f t="shared" si="12"/>
        <v>0</v>
      </c>
      <c r="J57" s="10">
        <f t="shared" si="13"/>
        <v>0</v>
      </c>
      <c r="K57" s="10">
        <f t="shared" si="14"/>
        <v>0</v>
      </c>
      <c r="L57" s="10">
        <f t="shared" si="15"/>
        <v>0</v>
      </c>
      <c r="M57" s="10">
        <f t="shared" si="16"/>
        <v>0</v>
      </c>
    </row>
    <row r="58" spans="1:13" ht="12.75">
      <c r="A58" s="6">
        <v>22</v>
      </c>
      <c r="B58" s="29"/>
      <c r="D58" s="2"/>
      <c r="E58" s="7"/>
      <c r="F58" s="8"/>
      <c r="G58" s="11"/>
      <c r="I58" s="10">
        <f t="shared" si="12"/>
        <v>0</v>
      </c>
      <c r="J58" s="10">
        <f t="shared" si="13"/>
        <v>0</v>
      </c>
      <c r="K58" s="10">
        <f t="shared" si="14"/>
        <v>0</v>
      </c>
      <c r="L58" s="10">
        <f t="shared" si="15"/>
        <v>0</v>
      </c>
      <c r="M58" s="10">
        <f t="shared" si="16"/>
        <v>0</v>
      </c>
    </row>
    <row r="59" spans="9:13" ht="7.5" customHeight="1">
      <c r="I59" s="14"/>
      <c r="J59" s="14"/>
      <c r="K59" s="14"/>
      <c r="L59" s="14"/>
      <c r="M59" s="14"/>
    </row>
    <row r="60" spans="9:13" ht="12.75">
      <c r="I60" s="15">
        <f>+SUM(I37:I59)</f>
        <v>54.7</v>
      </c>
      <c r="J60" s="15">
        <f>+SUM(J37:J59)</f>
        <v>8.4</v>
      </c>
      <c r="K60" s="15">
        <f>+SUM(K37:K59)</f>
        <v>0</v>
      </c>
      <c r="L60" s="15">
        <f>+SUM(L37:L59)</f>
        <v>0</v>
      </c>
      <c r="M60" s="15">
        <f>+SUM(M37:M59)</f>
        <v>0</v>
      </c>
    </row>
    <row r="61" spans="9:13" ht="12.75">
      <c r="I61" s="16"/>
      <c r="J61" s="16"/>
      <c r="K61" s="16"/>
      <c r="L61" s="16"/>
      <c r="M61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526</v>
      </c>
      <c r="C5" s="30" t="s">
        <v>40</v>
      </c>
      <c r="D5" s="30" t="s">
        <v>77</v>
      </c>
      <c r="E5" s="32" t="s">
        <v>515</v>
      </c>
      <c r="F5" s="8">
        <v>8.25</v>
      </c>
      <c r="G5" s="9">
        <v>2020</v>
      </c>
      <c r="I5" s="10">
        <f aca="true" t="shared" si="0" ref="I5:M14">+IF($G5&gt;=I$3,$F5,0)</f>
        <v>8.25</v>
      </c>
      <c r="J5" s="10">
        <f t="shared" si="0"/>
        <v>8.25</v>
      </c>
      <c r="K5" s="10">
        <f t="shared" si="0"/>
        <v>8.25</v>
      </c>
      <c r="L5" s="10">
        <f t="shared" si="0"/>
        <v>8.25</v>
      </c>
      <c r="M5" s="10">
        <f t="shared" si="0"/>
        <v>8.25</v>
      </c>
    </row>
    <row r="6" spans="1:13" ht="12.75">
      <c r="A6" s="6">
        <v>2</v>
      </c>
      <c r="B6" s="31" t="s">
        <v>553</v>
      </c>
      <c r="C6" s="30" t="s">
        <v>38</v>
      </c>
      <c r="D6" s="30" t="s">
        <v>86</v>
      </c>
      <c r="E6" s="32" t="s">
        <v>515</v>
      </c>
      <c r="F6" s="8">
        <v>3</v>
      </c>
      <c r="G6" s="9">
        <v>2020</v>
      </c>
      <c r="I6" s="10">
        <f t="shared" si="0"/>
        <v>3</v>
      </c>
      <c r="J6" s="10">
        <f t="shared" si="0"/>
        <v>3</v>
      </c>
      <c r="K6" s="10">
        <f t="shared" si="0"/>
        <v>3</v>
      </c>
      <c r="L6" s="10">
        <f t="shared" si="0"/>
        <v>3</v>
      </c>
      <c r="M6" s="10">
        <f t="shared" si="0"/>
        <v>3</v>
      </c>
    </row>
    <row r="7" spans="1:13" ht="12.75">
      <c r="A7" s="6">
        <v>3</v>
      </c>
      <c r="B7" s="31" t="s">
        <v>409</v>
      </c>
      <c r="C7" s="2" t="s">
        <v>40</v>
      </c>
      <c r="D7" s="2" t="s">
        <v>61</v>
      </c>
      <c r="E7" s="7" t="s">
        <v>386</v>
      </c>
      <c r="F7" s="8">
        <v>5.1</v>
      </c>
      <c r="G7" s="9">
        <v>2019</v>
      </c>
      <c r="I7" s="10">
        <f t="shared" si="0"/>
        <v>5.1</v>
      </c>
      <c r="J7" s="10">
        <f t="shared" si="0"/>
        <v>5.1</v>
      </c>
      <c r="K7" s="10">
        <f t="shared" si="0"/>
        <v>5.1</v>
      </c>
      <c r="L7" s="10">
        <f t="shared" si="0"/>
        <v>5.1</v>
      </c>
      <c r="M7" s="10">
        <f t="shared" si="0"/>
        <v>0</v>
      </c>
    </row>
    <row r="8" spans="1:13" ht="12.75">
      <c r="A8" s="6">
        <v>4</v>
      </c>
      <c r="B8" s="1" t="s">
        <v>419</v>
      </c>
      <c r="C8" s="2" t="s">
        <v>43</v>
      </c>
      <c r="D8" s="2" t="s">
        <v>82</v>
      </c>
      <c r="E8" s="32" t="s">
        <v>386</v>
      </c>
      <c r="F8" s="8">
        <v>2.9</v>
      </c>
      <c r="G8" s="9">
        <v>2019</v>
      </c>
      <c r="I8" s="10">
        <f t="shared" si="0"/>
        <v>2.9</v>
      </c>
      <c r="J8" s="10">
        <f t="shared" si="0"/>
        <v>2.9</v>
      </c>
      <c r="K8" s="10">
        <f t="shared" si="0"/>
        <v>2.9</v>
      </c>
      <c r="L8" s="10">
        <f t="shared" si="0"/>
        <v>2.9</v>
      </c>
      <c r="M8" s="10">
        <f t="shared" si="0"/>
        <v>0</v>
      </c>
    </row>
    <row r="9" spans="1:13" ht="12.75">
      <c r="A9" s="6">
        <v>5</v>
      </c>
      <c r="B9" s="1" t="s">
        <v>364</v>
      </c>
      <c r="C9" s="2" t="s">
        <v>41</v>
      </c>
      <c r="D9" s="2" t="s">
        <v>73</v>
      </c>
      <c r="E9" s="7" t="s">
        <v>372</v>
      </c>
      <c r="F9" s="12">
        <v>16.1</v>
      </c>
      <c r="G9" s="13">
        <v>2018</v>
      </c>
      <c r="I9" s="10">
        <f t="shared" si="0"/>
        <v>16.1</v>
      </c>
      <c r="J9" s="10">
        <f t="shared" si="0"/>
        <v>16.1</v>
      </c>
      <c r="K9" s="10">
        <f t="shared" si="0"/>
        <v>16.1</v>
      </c>
      <c r="L9" s="10">
        <f t="shared" si="0"/>
        <v>0</v>
      </c>
      <c r="M9" s="10">
        <f t="shared" si="0"/>
        <v>0</v>
      </c>
    </row>
    <row r="10" spans="1:13" ht="12.75">
      <c r="A10" s="6">
        <v>6</v>
      </c>
      <c r="B10" s="31" t="s">
        <v>292</v>
      </c>
      <c r="C10" s="2" t="s">
        <v>39</v>
      </c>
      <c r="D10" s="2" t="s">
        <v>77</v>
      </c>
      <c r="E10" s="7" t="s">
        <v>371</v>
      </c>
      <c r="F10" s="8">
        <v>6.85</v>
      </c>
      <c r="G10" s="9">
        <v>2018</v>
      </c>
      <c r="I10" s="10">
        <f t="shared" si="0"/>
        <v>6.85</v>
      </c>
      <c r="J10" s="10">
        <f t="shared" si="0"/>
        <v>6.85</v>
      </c>
      <c r="K10" s="10">
        <f t="shared" si="0"/>
        <v>6.85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31" t="s">
        <v>316</v>
      </c>
      <c r="C11" s="2" t="s">
        <v>39</v>
      </c>
      <c r="D11" s="2" t="s">
        <v>82</v>
      </c>
      <c r="E11" s="7" t="s">
        <v>371</v>
      </c>
      <c r="F11" s="8">
        <v>2.75</v>
      </c>
      <c r="G11" s="9">
        <v>2018</v>
      </c>
      <c r="I11" s="10">
        <f t="shared" si="0"/>
        <v>2.75</v>
      </c>
      <c r="J11" s="10">
        <f t="shared" si="0"/>
        <v>2.75</v>
      </c>
      <c r="K11" s="10">
        <f t="shared" si="0"/>
        <v>2.75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233</v>
      </c>
      <c r="C12" s="2" t="s">
        <v>38</v>
      </c>
      <c r="D12" s="2" t="s">
        <v>83</v>
      </c>
      <c r="E12" s="7" t="s">
        <v>56</v>
      </c>
      <c r="F12" s="8">
        <v>29.5</v>
      </c>
      <c r="G12" s="11">
        <v>2017</v>
      </c>
      <c r="I12" s="10">
        <f t="shared" si="0"/>
        <v>29.5</v>
      </c>
      <c r="J12" s="10">
        <f t="shared" si="0"/>
        <v>29.5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582</v>
      </c>
      <c r="C13" s="2" t="s">
        <v>38</v>
      </c>
      <c r="D13" s="2" t="s">
        <v>64</v>
      </c>
      <c r="E13" s="32" t="s">
        <v>557</v>
      </c>
      <c r="F13" s="8">
        <v>29</v>
      </c>
      <c r="G13" s="9">
        <v>2017</v>
      </c>
      <c r="I13" s="10">
        <f t="shared" si="0"/>
        <v>29</v>
      </c>
      <c r="J13" s="10">
        <f t="shared" si="0"/>
        <v>29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634</v>
      </c>
      <c r="C14" s="2" t="s">
        <v>42</v>
      </c>
      <c r="D14" s="2" t="s">
        <v>59</v>
      </c>
      <c r="E14" s="7" t="s">
        <v>557</v>
      </c>
      <c r="F14" s="8">
        <v>7.8</v>
      </c>
      <c r="G14" s="9">
        <v>2017</v>
      </c>
      <c r="I14" s="10">
        <f t="shared" si="0"/>
        <v>7.8</v>
      </c>
      <c r="J14" s="10">
        <f t="shared" si="0"/>
        <v>7.8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428</v>
      </c>
      <c r="C15" s="2" t="s">
        <v>43</v>
      </c>
      <c r="D15" s="2" t="s">
        <v>84</v>
      </c>
      <c r="E15" s="32" t="s">
        <v>427</v>
      </c>
      <c r="F15" s="12">
        <v>7.5</v>
      </c>
      <c r="G15" s="13">
        <v>2017</v>
      </c>
      <c r="I15" s="10">
        <f aca="true" t="shared" si="1" ref="I15:M29">+IF($G15&gt;=I$3,$F15,0)</f>
        <v>7.5</v>
      </c>
      <c r="J15" s="10">
        <f t="shared" si="1"/>
        <v>7.5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460</v>
      </c>
      <c r="C16" s="2" t="s">
        <v>43</v>
      </c>
      <c r="D16" s="2" t="s">
        <v>89</v>
      </c>
      <c r="E16" s="7" t="s">
        <v>427</v>
      </c>
      <c r="F16" s="12">
        <v>6</v>
      </c>
      <c r="G16" s="9">
        <v>2017</v>
      </c>
      <c r="I16" s="10">
        <f t="shared" si="1"/>
        <v>6</v>
      </c>
      <c r="J16" s="10">
        <f t="shared" si="1"/>
        <v>6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237</v>
      </c>
      <c r="C17" s="2" t="s">
        <v>43</v>
      </c>
      <c r="D17" s="2" t="s">
        <v>58</v>
      </c>
      <c r="E17" s="7" t="s">
        <v>56</v>
      </c>
      <c r="F17" s="12">
        <v>5.75</v>
      </c>
      <c r="G17" s="13">
        <v>2017</v>
      </c>
      <c r="I17" s="10">
        <f t="shared" si="1"/>
        <v>5.75</v>
      </c>
      <c r="J17" s="10">
        <f t="shared" si="1"/>
        <v>5.75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255</v>
      </c>
      <c r="C18" s="2" t="s">
        <v>44</v>
      </c>
      <c r="D18" s="2" t="s">
        <v>63</v>
      </c>
      <c r="E18" s="7" t="s">
        <v>56</v>
      </c>
      <c r="F18" s="12">
        <v>2.8</v>
      </c>
      <c r="G18" s="2">
        <v>2017</v>
      </c>
      <c r="I18" s="10">
        <f t="shared" si="1"/>
        <v>2.8</v>
      </c>
      <c r="J18" s="10">
        <f t="shared" si="1"/>
        <v>2.8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209</v>
      </c>
      <c r="C19" s="2" t="s">
        <v>43</v>
      </c>
      <c r="D19" s="2" t="s">
        <v>89</v>
      </c>
      <c r="E19" s="7" t="s">
        <v>56</v>
      </c>
      <c r="F19" s="8">
        <v>2.55</v>
      </c>
      <c r="G19" s="11">
        <v>2017</v>
      </c>
      <c r="I19" s="10">
        <f t="shared" si="1"/>
        <v>2.55</v>
      </c>
      <c r="J19" s="10">
        <f t="shared" si="1"/>
        <v>2.55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586</v>
      </c>
      <c r="C20" s="2" t="s">
        <v>39</v>
      </c>
      <c r="D20" s="2" t="s">
        <v>61</v>
      </c>
      <c r="E20" s="7" t="s">
        <v>557</v>
      </c>
      <c r="F20" s="8">
        <v>48.55</v>
      </c>
      <c r="G20" s="11">
        <v>2016</v>
      </c>
      <c r="I20" s="10">
        <f t="shared" si="1"/>
        <v>48.55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564</v>
      </c>
      <c r="C21" s="2" t="s">
        <v>38</v>
      </c>
      <c r="D21" s="2" t="s">
        <v>76</v>
      </c>
      <c r="E21" s="7" t="s">
        <v>557</v>
      </c>
      <c r="F21" s="12">
        <v>41.25</v>
      </c>
      <c r="G21" s="13">
        <v>2016</v>
      </c>
      <c r="I21" s="10">
        <f t="shared" si="1"/>
        <v>41.25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633</v>
      </c>
      <c r="C22" s="2" t="s">
        <v>40</v>
      </c>
      <c r="D22" s="2" t="s">
        <v>86</v>
      </c>
      <c r="E22" s="7" t="s">
        <v>557</v>
      </c>
      <c r="F22" s="12">
        <v>29</v>
      </c>
      <c r="G22" s="9">
        <v>2016</v>
      </c>
      <c r="I22" s="10">
        <f t="shared" si="1"/>
        <v>29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613</v>
      </c>
      <c r="C23" s="30" t="s">
        <v>41</v>
      </c>
      <c r="D23" s="30" t="s">
        <v>76</v>
      </c>
      <c r="E23" s="32" t="s">
        <v>557</v>
      </c>
      <c r="F23" s="12">
        <v>14.55</v>
      </c>
      <c r="G23" s="13">
        <v>2016</v>
      </c>
      <c r="I23" s="10">
        <f t="shared" si="1"/>
        <v>14.55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165</v>
      </c>
      <c r="C24" s="2" t="s">
        <v>40</v>
      </c>
      <c r="D24" s="30" t="s">
        <v>77</v>
      </c>
      <c r="E24" s="32" t="s">
        <v>56</v>
      </c>
      <c r="F24" s="8">
        <v>6.65</v>
      </c>
      <c r="G24" s="9">
        <v>2016</v>
      </c>
      <c r="I24" s="10">
        <f t="shared" si="1"/>
        <v>6.65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359</v>
      </c>
      <c r="C25" s="2" t="s">
        <v>43</v>
      </c>
      <c r="D25" s="2" t="s">
        <v>67</v>
      </c>
      <c r="E25" s="32" t="s">
        <v>372</v>
      </c>
      <c r="F25" s="8">
        <v>5.25</v>
      </c>
      <c r="G25" s="9">
        <v>2016</v>
      </c>
      <c r="I25" s="10">
        <f t="shared" si="1"/>
        <v>5.25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790</v>
      </c>
      <c r="C26" s="2" t="s">
        <v>40</v>
      </c>
      <c r="D26" s="2" t="s">
        <v>81</v>
      </c>
      <c r="E26" s="32" t="s">
        <v>691</v>
      </c>
      <c r="F26" s="12">
        <v>3</v>
      </c>
      <c r="G26" s="9">
        <v>2016</v>
      </c>
      <c r="I26" s="10">
        <f t="shared" si="1"/>
        <v>3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125</v>
      </c>
      <c r="C27" s="2" t="s">
        <v>40</v>
      </c>
      <c r="D27" s="2" t="s">
        <v>712</v>
      </c>
      <c r="E27" s="7" t="s">
        <v>691</v>
      </c>
      <c r="F27" s="8">
        <v>3</v>
      </c>
      <c r="G27" s="9">
        <v>2016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789</v>
      </c>
      <c r="C28" s="2" t="s">
        <v>44</v>
      </c>
      <c r="D28" s="2" t="s">
        <v>71</v>
      </c>
      <c r="E28" s="7" t="s">
        <v>691</v>
      </c>
      <c r="F28" s="8">
        <v>3</v>
      </c>
      <c r="G28" s="11">
        <v>2016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" t="s">
        <v>445</v>
      </c>
      <c r="C29" s="2" t="s">
        <v>44</v>
      </c>
      <c r="D29" s="2" t="s">
        <v>55</v>
      </c>
      <c r="E29" s="30" t="s">
        <v>427</v>
      </c>
      <c r="F29" s="12">
        <v>2.9</v>
      </c>
      <c r="G29" s="13">
        <v>2016</v>
      </c>
      <c r="I29" s="10">
        <f t="shared" si="1"/>
        <v>2.9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1"/>
      <c r="C31" s="23"/>
      <c r="D31" s="23"/>
      <c r="E31" s="24"/>
      <c r="F31" s="25"/>
      <c r="G31" s="26"/>
      <c r="I31" s="15">
        <f>+SUM(I5:I29)</f>
        <v>293</v>
      </c>
      <c r="J31" s="15">
        <f>+SUM(J5:J29)</f>
        <v>135.85000000000002</v>
      </c>
      <c r="K31" s="15">
        <f>+SUM(K5:K29)</f>
        <v>44.95</v>
      </c>
      <c r="L31" s="15">
        <f>+SUM(L5:L29)</f>
        <v>19.25</v>
      </c>
      <c r="M31" s="15">
        <f>+SUM(M5:M29)</f>
        <v>11.25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446</v>
      </c>
      <c r="C37" s="2" t="s">
        <v>40</v>
      </c>
      <c r="D37" s="2" t="s">
        <v>63</v>
      </c>
      <c r="E37" s="32">
        <v>2015</v>
      </c>
      <c r="F37" s="8">
        <v>20.2</v>
      </c>
      <c r="G37" s="9">
        <v>2017</v>
      </c>
      <c r="I37" s="10">
        <f aca="true" t="shared" si="2" ref="I37:I46">+CEILING(IF($I$35=E37,F37,IF($I$35&lt;=G37,F37*0.3,0)),0.05)</f>
        <v>6.1000000000000005</v>
      </c>
      <c r="J37" s="10">
        <f aca="true" t="shared" si="3" ref="J37:J46">+CEILING(IF($J$35&lt;=G37,F37*0.3,0),0.05)</f>
        <v>6.1000000000000005</v>
      </c>
      <c r="K37" s="10">
        <f aca="true" t="shared" si="4" ref="K37:K46">+CEILING(IF($K$35&lt;=G37,F37*0.3,0),0.05)</f>
        <v>0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31" t="s">
        <v>208</v>
      </c>
      <c r="C38" s="2" t="s">
        <v>40</v>
      </c>
      <c r="D38" s="2" t="s">
        <v>70</v>
      </c>
      <c r="E38" s="7">
        <v>2015</v>
      </c>
      <c r="F38" s="8">
        <v>8.9</v>
      </c>
      <c r="G38" s="9">
        <v>2017</v>
      </c>
      <c r="I38" s="10">
        <f t="shared" si="2"/>
        <v>2.7</v>
      </c>
      <c r="J38" s="10">
        <f t="shared" si="3"/>
        <v>2.7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254</v>
      </c>
      <c r="C39" s="2" t="s">
        <v>43</v>
      </c>
      <c r="D39" s="2" t="s">
        <v>83</v>
      </c>
      <c r="E39" s="7">
        <v>2014</v>
      </c>
      <c r="F39" s="8">
        <v>5</v>
      </c>
      <c r="G39" s="9">
        <v>2017</v>
      </c>
      <c r="I39" s="10">
        <f t="shared" si="2"/>
        <v>1.5</v>
      </c>
      <c r="J39" s="10">
        <f t="shared" si="3"/>
        <v>1.5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358</v>
      </c>
      <c r="C40" s="2" t="s">
        <v>40</v>
      </c>
      <c r="D40" s="2" t="s">
        <v>59</v>
      </c>
      <c r="E40" s="32">
        <v>2014</v>
      </c>
      <c r="F40" s="8">
        <v>31.75</v>
      </c>
      <c r="G40" s="9">
        <v>2016</v>
      </c>
      <c r="I40" s="10">
        <f t="shared" si="2"/>
        <v>9.55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435</v>
      </c>
      <c r="C41" s="2" t="s">
        <v>42</v>
      </c>
      <c r="D41" s="2" t="s">
        <v>60</v>
      </c>
      <c r="E41" s="32">
        <v>2016</v>
      </c>
      <c r="F41" s="12">
        <v>7.25</v>
      </c>
      <c r="G41" s="9">
        <v>2016</v>
      </c>
      <c r="I41" s="10">
        <f t="shared" si="2"/>
        <v>7.25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 t="s">
        <v>459</v>
      </c>
      <c r="C42" s="30" t="s">
        <v>39</v>
      </c>
      <c r="D42" s="30" t="s">
        <v>114</v>
      </c>
      <c r="E42" s="32">
        <v>2015</v>
      </c>
      <c r="F42" s="8">
        <v>5.25</v>
      </c>
      <c r="G42" s="9">
        <v>2016</v>
      </c>
      <c r="I42" s="10">
        <f t="shared" si="2"/>
        <v>1.6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100</v>
      </c>
      <c r="C43" s="2" t="s">
        <v>43</v>
      </c>
      <c r="D43" s="2" t="s">
        <v>89</v>
      </c>
      <c r="E43" s="32">
        <v>2014</v>
      </c>
      <c r="F43" s="12">
        <v>3.9</v>
      </c>
      <c r="G43" s="13">
        <v>2016</v>
      </c>
      <c r="I43" s="10">
        <f t="shared" si="2"/>
        <v>1.2000000000000002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132</v>
      </c>
      <c r="C44" s="30" t="s">
        <v>40</v>
      </c>
      <c r="D44" s="30" t="s">
        <v>68</v>
      </c>
      <c r="E44" s="32">
        <v>2015</v>
      </c>
      <c r="F44" s="8">
        <v>3.55</v>
      </c>
      <c r="G44" s="9">
        <v>2016</v>
      </c>
      <c r="I44" s="10">
        <f t="shared" si="2"/>
        <v>1.1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724</v>
      </c>
      <c r="C45" s="2" t="s">
        <v>40</v>
      </c>
      <c r="D45" s="2" t="s">
        <v>58</v>
      </c>
      <c r="E45" s="7">
        <v>2016</v>
      </c>
      <c r="F45" s="8">
        <v>3</v>
      </c>
      <c r="G45" s="9">
        <v>2016</v>
      </c>
      <c r="I45" s="10">
        <f t="shared" si="2"/>
        <v>3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156</v>
      </c>
      <c r="C46" s="30" t="s">
        <v>40</v>
      </c>
      <c r="D46" s="30" t="s">
        <v>63</v>
      </c>
      <c r="E46" s="32">
        <v>2015</v>
      </c>
      <c r="F46" s="8">
        <v>2.35</v>
      </c>
      <c r="G46" s="9">
        <v>2016</v>
      </c>
      <c r="I46" s="10">
        <f t="shared" si="2"/>
        <v>0.75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8"/>
      <c r="G47" s="9"/>
      <c r="I47" s="10">
        <f>+CEILING(IF($I$35=E47,F47,IF($I$35&lt;=G47,F47*0.3,0)),0.05)</f>
        <v>0</v>
      </c>
      <c r="J47" s="10">
        <f>+CEILING(IF($J$35&lt;=G47,F47*0.3,0),0.05)</f>
        <v>0</v>
      </c>
      <c r="K47" s="10">
        <f>+CEILING(IF($K$35&lt;=G47,F47*0.3,0),0.05)</f>
        <v>0</v>
      </c>
      <c r="L47" s="10">
        <f>+CEILING(IF($L$35&lt;=G47,F47*0.3,0),0.05)</f>
        <v>0</v>
      </c>
      <c r="M47" s="10">
        <f>CEILING(IF($M$35&lt;=G47,F47*0.3,0),0.05)</f>
        <v>0</v>
      </c>
    </row>
    <row r="48" spans="1:13" ht="12.75">
      <c r="A48" s="6">
        <v>12</v>
      </c>
      <c r="D48" s="2"/>
      <c r="E48" s="7"/>
      <c r="F48" s="8"/>
      <c r="G48" s="9"/>
      <c r="I48" s="10">
        <f>+CEILING(IF($I$35=E48,F48,IF($I$35&lt;=G48,F48*0.3,0)),0.05)</f>
        <v>0</v>
      </c>
      <c r="J48" s="10">
        <f>+CEILING(IF($J$35&lt;=G48,F48*0.3,0),0.05)</f>
        <v>0</v>
      </c>
      <c r="K48" s="10">
        <f>+CEILING(IF($K$35&lt;=G48,F48*0.3,0),0.05)</f>
        <v>0</v>
      </c>
      <c r="L48" s="10">
        <f>+CEILING(IF($L$35&lt;=G48,F48*0.3,0),0.05)</f>
        <v>0</v>
      </c>
      <c r="M48" s="10">
        <f>CEILING(IF($M$35&lt;=G48,F48*0.3,0),0.05)</f>
        <v>0</v>
      </c>
    </row>
    <row r="49" spans="1:13" ht="12.75">
      <c r="A49" s="6">
        <v>13</v>
      </c>
      <c r="D49" s="2"/>
      <c r="E49" s="7"/>
      <c r="F49" s="8"/>
      <c r="G49" s="11"/>
      <c r="I49" s="10">
        <f>+CEILING(IF($I$35=E49,F49,IF($I$35&lt;=G49,F49*0.3,0)),0.05)</f>
        <v>0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.75">
      <c r="A50" s="6">
        <v>14</v>
      </c>
      <c r="B50" s="14"/>
      <c r="D50" s="2"/>
      <c r="E50" s="7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9:13" ht="7.5" customHeight="1">
      <c r="I51" s="14"/>
      <c r="J51" s="14"/>
      <c r="K51" s="14"/>
      <c r="L51" s="14"/>
      <c r="M51" s="14"/>
    </row>
    <row r="52" spans="9:13" ht="12.75">
      <c r="I52" s="15">
        <f>+SUM(I37:I51)</f>
        <v>34.75</v>
      </c>
      <c r="J52" s="15">
        <f>+SUM(J37:J51)</f>
        <v>10.3</v>
      </c>
      <c r="K52" s="15">
        <f>+SUM(K37:K51)</f>
        <v>0</v>
      </c>
      <c r="L52" s="15">
        <f>+SUM(L37:L51)</f>
        <v>0</v>
      </c>
      <c r="M52" s="15">
        <f>+SUM(M37:M51)</f>
        <v>0</v>
      </c>
    </row>
    <row r="53" spans="9:13" ht="12.75">
      <c r="I53" s="16"/>
      <c r="J53" s="16"/>
      <c r="K53" s="16"/>
      <c r="L53" s="16"/>
      <c r="M5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2016</v>
      </c>
      <c r="J3" s="5">
        <v>2017</v>
      </c>
      <c r="K3" s="5">
        <v>2018</v>
      </c>
      <c r="L3" s="5">
        <v>2019</v>
      </c>
      <c r="M3" s="5">
        <v>2020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514</v>
      </c>
      <c r="C5" s="30" t="s">
        <v>39</v>
      </c>
      <c r="D5" s="30" t="s">
        <v>76</v>
      </c>
      <c r="E5" s="7" t="s">
        <v>515</v>
      </c>
      <c r="F5" s="8">
        <v>22.5</v>
      </c>
      <c r="G5" s="13">
        <v>2020</v>
      </c>
      <c r="I5" s="10">
        <f aca="true" t="shared" si="0" ref="I5:I29">+IF($G5&gt;=I$3,$F5,0)</f>
        <v>22.5</v>
      </c>
      <c r="J5" s="10">
        <f aca="true" t="shared" si="1" ref="J5:M14">+IF($G5&gt;=J$3,$F5,0)</f>
        <v>22.5</v>
      </c>
      <c r="K5" s="10">
        <f t="shared" si="1"/>
        <v>22.5</v>
      </c>
      <c r="L5" s="10">
        <f t="shared" si="1"/>
        <v>22.5</v>
      </c>
      <c r="M5" s="10">
        <f t="shared" si="1"/>
        <v>22.5</v>
      </c>
    </row>
    <row r="6" spans="1:13" ht="12.75">
      <c r="A6" s="6">
        <v>2</v>
      </c>
      <c r="B6" s="31" t="s">
        <v>593</v>
      </c>
      <c r="C6" s="2" t="s">
        <v>43</v>
      </c>
      <c r="D6" s="2" t="s">
        <v>62</v>
      </c>
      <c r="E6" s="32" t="s">
        <v>557</v>
      </c>
      <c r="F6" s="12">
        <v>7.9</v>
      </c>
      <c r="G6" s="13">
        <v>2020</v>
      </c>
      <c r="I6" s="10">
        <f t="shared" si="0"/>
        <v>7.9</v>
      </c>
      <c r="J6" s="10">
        <f t="shared" si="1"/>
        <v>7.9</v>
      </c>
      <c r="K6" s="10">
        <f t="shared" si="1"/>
        <v>7.9</v>
      </c>
      <c r="L6" s="10">
        <f t="shared" si="1"/>
        <v>7.9</v>
      </c>
      <c r="M6" s="10">
        <f t="shared" si="1"/>
        <v>7.9</v>
      </c>
    </row>
    <row r="7" spans="1:13" ht="12.75">
      <c r="A7" s="6">
        <v>3</v>
      </c>
      <c r="B7" s="31" t="s">
        <v>516</v>
      </c>
      <c r="C7" s="2" t="s">
        <v>40</v>
      </c>
      <c r="D7" s="2" t="s">
        <v>82</v>
      </c>
      <c r="E7" s="7" t="s">
        <v>515</v>
      </c>
      <c r="F7" s="12">
        <v>7.5</v>
      </c>
      <c r="G7" s="13">
        <v>2020</v>
      </c>
      <c r="I7" s="10">
        <f t="shared" si="0"/>
        <v>7.5</v>
      </c>
      <c r="J7" s="10">
        <f t="shared" si="1"/>
        <v>7.5</v>
      </c>
      <c r="K7" s="10">
        <f t="shared" si="1"/>
        <v>7.5</v>
      </c>
      <c r="L7" s="10">
        <f t="shared" si="1"/>
        <v>7.5</v>
      </c>
      <c r="M7" s="10">
        <f t="shared" si="1"/>
        <v>7.5</v>
      </c>
    </row>
    <row r="8" spans="1:13" ht="12.75">
      <c r="A8" s="6">
        <v>4</v>
      </c>
      <c r="B8" s="1" t="s">
        <v>639</v>
      </c>
      <c r="C8" s="2" t="s">
        <v>39</v>
      </c>
      <c r="D8" s="2" t="s">
        <v>72</v>
      </c>
      <c r="E8" s="2" t="s">
        <v>557</v>
      </c>
      <c r="F8" s="12">
        <v>11.8</v>
      </c>
      <c r="G8" s="13">
        <v>2019</v>
      </c>
      <c r="I8" s="10">
        <f t="shared" si="0"/>
        <v>11.8</v>
      </c>
      <c r="J8" s="10">
        <f t="shared" si="1"/>
        <v>11.8</v>
      </c>
      <c r="K8" s="10">
        <f t="shared" si="1"/>
        <v>11.8</v>
      </c>
      <c r="L8" s="10">
        <f t="shared" si="1"/>
        <v>11.8</v>
      </c>
      <c r="M8" s="10">
        <f t="shared" si="1"/>
        <v>0</v>
      </c>
    </row>
    <row r="9" spans="1:13" ht="12.75">
      <c r="A9" s="6">
        <v>5</v>
      </c>
      <c r="B9" s="31" t="s">
        <v>400</v>
      </c>
      <c r="C9" s="30" t="s">
        <v>38</v>
      </c>
      <c r="D9" s="30" t="s">
        <v>67</v>
      </c>
      <c r="E9" s="32" t="s">
        <v>386</v>
      </c>
      <c r="F9" s="12">
        <v>11.6</v>
      </c>
      <c r="G9" s="13">
        <v>2019</v>
      </c>
      <c r="I9" s="10">
        <f t="shared" si="0"/>
        <v>11.6</v>
      </c>
      <c r="J9" s="10">
        <f t="shared" si="1"/>
        <v>11.6</v>
      </c>
      <c r="K9" s="10">
        <f t="shared" si="1"/>
        <v>11.6</v>
      </c>
      <c r="L9" s="10">
        <f t="shared" si="1"/>
        <v>11.6</v>
      </c>
      <c r="M9" s="10">
        <f t="shared" si="1"/>
        <v>0</v>
      </c>
    </row>
    <row r="10" spans="1:13" ht="12.75">
      <c r="A10" s="6">
        <v>6</v>
      </c>
      <c r="B10" s="33" t="s">
        <v>401</v>
      </c>
      <c r="C10" s="2" t="s">
        <v>40</v>
      </c>
      <c r="D10" s="2" t="s">
        <v>81</v>
      </c>
      <c r="E10" s="7" t="s">
        <v>386</v>
      </c>
      <c r="F10" s="8">
        <v>10.15</v>
      </c>
      <c r="G10" s="13">
        <v>2019</v>
      </c>
      <c r="I10" s="10">
        <f t="shared" si="0"/>
        <v>10.15</v>
      </c>
      <c r="J10" s="10">
        <f t="shared" si="1"/>
        <v>10.15</v>
      </c>
      <c r="K10" s="10">
        <f t="shared" si="1"/>
        <v>10.15</v>
      </c>
      <c r="L10" s="10">
        <f t="shared" si="1"/>
        <v>10.15</v>
      </c>
      <c r="M10" s="10">
        <f t="shared" si="1"/>
        <v>0</v>
      </c>
    </row>
    <row r="11" spans="1:13" ht="12.75">
      <c r="A11" s="6">
        <v>7</v>
      </c>
      <c r="B11" s="31" t="s">
        <v>605</v>
      </c>
      <c r="C11" s="30" t="s">
        <v>43</v>
      </c>
      <c r="D11" s="30" t="s">
        <v>60</v>
      </c>
      <c r="E11" s="32" t="s">
        <v>557</v>
      </c>
      <c r="F11" s="8">
        <v>8</v>
      </c>
      <c r="G11" s="9">
        <v>2019</v>
      </c>
      <c r="I11" s="10">
        <f t="shared" si="0"/>
        <v>8</v>
      </c>
      <c r="J11" s="10">
        <f t="shared" si="1"/>
        <v>8</v>
      </c>
      <c r="K11" s="10">
        <f t="shared" si="1"/>
        <v>8</v>
      </c>
      <c r="L11" s="10">
        <f t="shared" si="1"/>
        <v>8</v>
      </c>
      <c r="M11" s="10">
        <f t="shared" si="1"/>
        <v>0</v>
      </c>
    </row>
    <row r="12" spans="1:13" ht="12.75">
      <c r="A12" s="6">
        <v>8</v>
      </c>
      <c r="B12" s="31" t="s">
        <v>481</v>
      </c>
      <c r="C12" s="2" t="s">
        <v>43</v>
      </c>
      <c r="D12" s="2" t="s">
        <v>57</v>
      </c>
      <c r="E12" s="32" t="s">
        <v>427</v>
      </c>
      <c r="F12" s="12">
        <v>3.15</v>
      </c>
      <c r="G12" s="13">
        <v>2019</v>
      </c>
      <c r="I12" s="10">
        <f t="shared" si="0"/>
        <v>3.15</v>
      </c>
      <c r="J12" s="10">
        <f t="shared" si="1"/>
        <v>3.15</v>
      </c>
      <c r="K12" s="10">
        <f t="shared" si="1"/>
        <v>3.15</v>
      </c>
      <c r="L12" s="10">
        <f t="shared" si="1"/>
        <v>3.15</v>
      </c>
      <c r="M12" s="10">
        <f t="shared" si="1"/>
        <v>0</v>
      </c>
    </row>
    <row r="13" spans="1:13" ht="12.75">
      <c r="A13" s="6">
        <v>9</v>
      </c>
      <c r="B13" s="1" t="s">
        <v>291</v>
      </c>
      <c r="C13" s="2" t="s">
        <v>41</v>
      </c>
      <c r="D13" s="2" t="s">
        <v>72</v>
      </c>
      <c r="E13" s="7" t="s">
        <v>371</v>
      </c>
      <c r="F13" s="8">
        <v>7.55</v>
      </c>
      <c r="G13" s="9">
        <v>2018</v>
      </c>
      <c r="I13" s="10">
        <f t="shared" si="0"/>
        <v>7.55</v>
      </c>
      <c r="J13" s="10">
        <f t="shared" si="1"/>
        <v>7.55</v>
      </c>
      <c r="K13" s="10">
        <f t="shared" si="1"/>
        <v>7.55</v>
      </c>
      <c r="L13" s="10">
        <f t="shared" si="1"/>
        <v>0</v>
      </c>
      <c r="M13" s="10">
        <f t="shared" si="1"/>
        <v>0</v>
      </c>
    </row>
    <row r="14" spans="1:13" ht="12.75">
      <c r="A14" s="6">
        <v>10</v>
      </c>
      <c r="B14" s="31" t="s">
        <v>192</v>
      </c>
      <c r="C14" s="2" t="s">
        <v>39</v>
      </c>
      <c r="D14" s="2" t="s">
        <v>59</v>
      </c>
      <c r="E14" s="7" t="s">
        <v>373</v>
      </c>
      <c r="F14" s="8">
        <v>16.55</v>
      </c>
      <c r="G14" s="9">
        <v>2017</v>
      </c>
      <c r="I14" s="10">
        <f t="shared" si="0"/>
        <v>16.55</v>
      </c>
      <c r="J14" s="10">
        <f t="shared" si="1"/>
        <v>16.55</v>
      </c>
      <c r="K14" s="10">
        <f t="shared" si="1"/>
        <v>0</v>
      </c>
      <c r="L14" s="10">
        <f t="shared" si="1"/>
        <v>0</v>
      </c>
      <c r="M14" s="10">
        <f t="shared" si="1"/>
        <v>0</v>
      </c>
    </row>
    <row r="15" spans="1:13" ht="12.75">
      <c r="A15" s="6">
        <v>11</v>
      </c>
      <c r="B15" s="31" t="s">
        <v>236</v>
      </c>
      <c r="C15" s="2" t="s">
        <v>44</v>
      </c>
      <c r="D15" s="2" t="s">
        <v>57</v>
      </c>
      <c r="E15" s="7" t="s">
        <v>56</v>
      </c>
      <c r="F15" s="8">
        <v>8.35</v>
      </c>
      <c r="G15" s="13">
        <v>2017</v>
      </c>
      <c r="I15" s="10">
        <f t="shared" si="0"/>
        <v>8.35</v>
      </c>
      <c r="J15" s="10">
        <f aca="true" t="shared" si="2" ref="J15:M29">+IF($G15&gt;=J$3,$F15,0)</f>
        <v>8.35</v>
      </c>
      <c r="K15" s="10">
        <f t="shared" si="2"/>
        <v>0</v>
      </c>
      <c r="L15" s="10">
        <f t="shared" si="2"/>
        <v>0</v>
      </c>
      <c r="M15" s="10">
        <f t="shared" si="2"/>
        <v>0</v>
      </c>
    </row>
    <row r="16" spans="1:13" ht="12.75">
      <c r="A16" s="6">
        <v>12</v>
      </c>
      <c r="B16" s="31" t="s">
        <v>222</v>
      </c>
      <c r="C16" s="2" t="s">
        <v>40</v>
      </c>
      <c r="D16" s="2" t="s">
        <v>89</v>
      </c>
      <c r="E16" s="2" t="s">
        <v>373</v>
      </c>
      <c r="F16" s="8">
        <v>3.2</v>
      </c>
      <c r="G16" s="9">
        <v>2017</v>
      </c>
      <c r="I16" s="10">
        <f t="shared" si="0"/>
        <v>3.2</v>
      </c>
      <c r="J16" s="10">
        <f t="shared" si="2"/>
        <v>3.2</v>
      </c>
      <c r="K16" s="10">
        <f t="shared" si="2"/>
        <v>0</v>
      </c>
      <c r="L16" s="10">
        <f t="shared" si="2"/>
        <v>0</v>
      </c>
      <c r="M16" s="10">
        <f t="shared" si="2"/>
        <v>0</v>
      </c>
    </row>
    <row r="17" spans="1:13" ht="12.75">
      <c r="A17" s="6">
        <v>13</v>
      </c>
      <c r="B17" s="1" t="s">
        <v>559</v>
      </c>
      <c r="C17" s="2" t="s">
        <v>41</v>
      </c>
      <c r="D17" s="2" t="s">
        <v>70</v>
      </c>
      <c r="E17" s="2" t="s">
        <v>557</v>
      </c>
      <c r="F17" s="12">
        <v>77</v>
      </c>
      <c r="G17" s="13">
        <v>2016</v>
      </c>
      <c r="I17" s="10">
        <f t="shared" si="0"/>
        <v>77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</row>
    <row r="18" spans="1:13" ht="12.75">
      <c r="A18" s="6">
        <v>14</v>
      </c>
      <c r="B18" s="31" t="s">
        <v>556</v>
      </c>
      <c r="C18" s="2" t="s">
        <v>38</v>
      </c>
      <c r="D18" s="2" t="s">
        <v>71</v>
      </c>
      <c r="E18" s="7" t="s">
        <v>557</v>
      </c>
      <c r="F18" s="8">
        <v>47.65</v>
      </c>
      <c r="G18" s="13">
        <v>2016</v>
      </c>
      <c r="I18" s="10">
        <f t="shared" si="0"/>
        <v>47.65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</row>
    <row r="19" spans="1:13" ht="12.75">
      <c r="A19" s="6">
        <v>15</v>
      </c>
      <c r="B19" s="31" t="s">
        <v>638</v>
      </c>
      <c r="C19" s="2" t="s">
        <v>40</v>
      </c>
      <c r="D19" s="30" t="s">
        <v>72</v>
      </c>
      <c r="E19" s="7" t="s">
        <v>557</v>
      </c>
      <c r="F19" s="12">
        <v>11.25</v>
      </c>
      <c r="G19" s="13">
        <v>2016</v>
      </c>
      <c r="I19" s="10">
        <f t="shared" si="0"/>
        <v>11.25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>
        <f t="shared" si="2"/>
        <v>0</v>
      </c>
    </row>
    <row r="20" spans="1:13" ht="12.75">
      <c r="A20" s="6">
        <v>16</v>
      </c>
      <c r="B20" s="1" t="s">
        <v>163</v>
      </c>
      <c r="C20" s="2" t="s">
        <v>40</v>
      </c>
      <c r="D20" s="2" t="s">
        <v>69</v>
      </c>
      <c r="E20" s="32" t="s">
        <v>56</v>
      </c>
      <c r="F20" s="8">
        <v>9</v>
      </c>
      <c r="G20" s="9">
        <v>2016</v>
      </c>
      <c r="I20" s="10">
        <f t="shared" si="0"/>
        <v>9</v>
      </c>
      <c r="J20" s="10">
        <f t="shared" si="2"/>
        <v>0</v>
      </c>
      <c r="K20" s="10">
        <f t="shared" si="2"/>
        <v>0</v>
      </c>
      <c r="L20" s="10">
        <f t="shared" si="2"/>
        <v>0</v>
      </c>
      <c r="M20" s="10">
        <f t="shared" si="2"/>
        <v>0</v>
      </c>
    </row>
    <row r="21" spans="1:13" ht="12.75">
      <c r="A21" s="6">
        <v>17</v>
      </c>
      <c r="B21" s="1" t="s">
        <v>604</v>
      </c>
      <c r="C21" s="2" t="s">
        <v>43</v>
      </c>
      <c r="D21" s="2" t="s">
        <v>81</v>
      </c>
      <c r="E21" s="7" t="s">
        <v>557</v>
      </c>
      <c r="F21" s="12">
        <v>8.5</v>
      </c>
      <c r="G21" s="13">
        <v>2016</v>
      </c>
      <c r="I21" s="10">
        <f t="shared" si="0"/>
        <v>8.5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</row>
    <row r="22" spans="1:13" ht="12.75">
      <c r="A22" s="6">
        <v>18</v>
      </c>
      <c r="B22" s="31" t="s">
        <v>606</v>
      </c>
      <c r="C22" s="2" t="s">
        <v>44</v>
      </c>
      <c r="D22" s="2" t="s">
        <v>61</v>
      </c>
      <c r="E22" s="7" t="s">
        <v>557</v>
      </c>
      <c r="F22" s="12">
        <v>5.25</v>
      </c>
      <c r="G22" s="13">
        <v>2016</v>
      </c>
      <c r="I22" s="10">
        <f t="shared" si="0"/>
        <v>5.25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2.75">
      <c r="A23" s="6">
        <v>19</v>
      </c>
      <c r="B23" s="31" t="s">
        <v>787</v>
      </c>
      <c r="C23" s="2" t="s">
        <v>40</v>
      </c>
      <c r="D23" s="2" t="s">
        <v>85</v>
      </c>
      <c r="E23" s="7" t="s">
        <v>691</v>
      </c>
      <c r="F23" s="8">
        <v>3</v>
      </c>
      <c r="G23" s="13">
        <v>2016</v>
      </c>
      <c r="I23" s="10">
        <f t="shared" si="0"/>
        <v>3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</row>
    <row r="24" spans="1:13" ht="12.75">
      <c r="A24" s="6">
        <v>20</v>
      </c>
      <c r="B24" s="1" t="s">
        <v>590</v>
      </c>
      <c r="C24" s="2" t="s">
        <v>43</v>
      </c>
      <c r="D24" s="2" t="s">
        <v>78</v>
      </c>
      <c r="E24" s="7" t="s">
        <v>691</v>
      </c>
      <c r="F24" s="8">
        <v>3</v>
      </c>
      <c r="G24" s="13">
        <v>2016</v>
      </c>
      <c r="I24" s="10">
        <f t="shared" si="0"/>
        <v>3</v>
      </c>
      <c r="J24" s="10">
        <f t="shared" si="2"/>
        <v>0</v>
      </c>
      <c r="K24" s="10">
        <f t="shared" si="2"/>
        <v>0</v>
      </c>
      <c r="L24" s="10">
        <f t="shared" si="2"/>
        <v>0</v>
      </c>
      <c r="M24" s="10">
        <f t="shared" si="2"/>
        <v>0</v>
      </c>
    </row>
    <row r="25" spans="1:13" ht="12.75">
      <c r="A25" s="6">
        <v>21</v>
      </c>
      <c r="B25" s="1" t="s">
        <v>788</v>
      </c>
      <c r="C25" s="2" t="s">
        <v>39</v>
      </c>
      <c r="D25" s="2" t="s">
        <v>77</v>
      </c>
      <c r="E25" s="7" t="s">
        <v>691</v>
      </c>
      <c r="F25" s="8">
        <v>3</v>
      </c>
      <c r="G25" s="13">
        <v>2016</v>
      </c>
      <c r="I25" s="10">
        <f t="shared" si="0"/>
        <v>3</v>
      </c>
      <c r="J25" s="10">
        <f t="shared" si="2"/>
        <v>0</v>
      </c>
      <c r="K25" s="10">
        <f t="shared" si="2"/>
        <v>0</v>
      </c>
      <c r="L25" s="10">
        <f t="shared" si="2"/>
        <v>0</v>
      </c>
      <c r="M25" s="10">
        <f t="shared" si="2"/>
        <v>0</v>
      </c>
    </row>
    <row r="26" spans="1:13" ht="12.75">
      <c r="A26" s="6">
        <v>22</v>
      </c>
      <c r="B26" s="31" t="s">
        <v>786</v>
      </c>
      <c r="C26" s="30" t="s">
        <v>39</v>
      </c>
      <c r="D26" s="30" t="s">
        <v>58</v>
      </c>
      <c r="E26" s="7" t="s">
        <v>691</v>
      </c>
      <c r="F26" s="8">
        <v>3</v>
      </c>
      <c r="G26" s="13">
        <v>2016</v>
      </c>
      <c r="I26" s="10">
        <f t="shared" si="0"/>
        <v>3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</row>
    <row r="27" spans="1:13" ht="12.75">
      <c r="A27" s="6">
        <v>23</v>
      </c>
      <c r="B27" s="31" t="s">
        <v>623</v>
      </c>
      <c r="C27" s="2" t="s">
        <v>44</v>
      </c>
      <c r="D27" s="2" t="s">
        <v>77</v>
      </c>
      <c r="E27" s="7" t="s">
        <v>557</v>
      </c>
      <c r="F27" s="12">
        <v>3</v>
      </c>
      <c r="G27" s="13">
        <v>2016</v>
      </c>
      <c r="I27" s="10">
        <f t="shared" si="0"/>
        <v>3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</row>
    <row r="28" spans="1:13" ht="12.75">
      <c r="A28" s="6">
        <v>24</v>
      </c>
      <c r="B28" s="1" t="s">
        <v>772</v>
      </c>
      <c r="C28" s="2" t="s">
        <v>43</v>
      </c>
      <c r="D28" s="2" t="s">
        <v>80</v>
      </c>
      <c r="E28" s="2" t="s">
        <v>691</v>
      </c>
      <c r="F28" s="12">
        <v>3</v>
      </c>
      <c r="G28" s="13">
        <v>2016</v>
      </c>
      <c r="I28" s="10">
        <f t="shared" si="0"/>
        <v>3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</row>
    <row r="29" spans="1:13" ht="12.75">
      <c r="A29" s="6">
        <v>25</v>
      </c>
      <c r="B29" s="1" t="s">
        <v>676</v>
      </c>
      <c r="C29" s="30" t="s">
        <v>42</v>
      </c>
      <c r="D29" s="30" t="s">
        <v>73</v>
      </c>
      <c r="E29" s="2" t="s">
        <v>557</v>
      </c>
      <c r="F29" s="12">
        <v>3</v>
      </c>
      <c r="G29" s="13">
        <v>2016</v>
      </c>
      <c r="I29" s="10">
        <f t="shared" si="0"/>
        <v>3</v>
      </c>
      <c r="J29" s="10">
        <f t="shared" si="2"/>
        <v>0</v>
      </c>
      <c r="K29" s="10">
        <f t="shared" si="2"/>
        <v>0</v>
      </c>
      <c r="L29" s="10">
        <f t="shared" si="2"/>
        <v>0</v>
      </c>
      <c r="M29" s="10">
        <f t="shared" si="2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8"/>
      <c r="G31" s="9"/>
      <c r="I31" s="15">
        <f>+SUM(I5:I29)</f>
        <v>297.9</v>
      </c>
      <c r="J31" s="15">
        <f>+SUM(J5:J29)</f>
        <v>118.25</v>
      </c>
      <c r="K31" s="15">
        <f>+SUM(K5:K29)</f>
        <v>90.15</v>
      </c>
      <c r="L31" s="15">
        <f>+SUM(L5:L29)</f>
        <v>82.60000000000001</v>
      </c>
      <c r="M31" s="15">
        <f>+SUM(M5:M29)</f>
        <v>37.9</v>
      </c>
    </row>
    <row r="33" spans="1:13" ht="15.75">
      <c r="A33" s="120" t="s">
        <v>74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75</v>
      </c>
      <c r="F35" s="4" t="s">
        <v>9</v>
      </c>
      <c r="G35" s="4" t="s">
        <v>54</v>
      </c>
      <c r="I35" s="5">
        <f>+I$3</f>
        <v>2016</v>
      </c>
      <c r="J35" s="5">
        <f>+J$3</f>
        <v>2017</v>
      </c>
      <c r="K35" s="5">
        <f>+K$3</f>
        <v>2018</v>
      </c>
      <c r="L35" s="5">
        <f>+L$3</f>
        <v>2019</v>
      </c>
      <c r="M35" s="5">
        <f>+M$3</f>
        <v>2020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457</v>
      </c>
      <c r="C37" s="30" t="s">
        <v>39</v>
      </c>
      <c r="D37" s="30" t="s">
        <v>80</v>
      </c>
      <c r="E37" s="7">
        <v>2015</v>
      </c>
      <c r="F37" s="8">
        <v>11.25</v>
      </c>
      <c r="G37" s="13">
        <v>2019</v>
      </c>
      <c r="I37" s="10">
        <f aca="true" t="shared" si="3" ref="I37:I46">+CEILING(IF($I$35=E37,F37,IF($I$35&lt;=G37,F37*0.3,0)),0.05)</f>
        <v>3.4000000000000004</v>
      </c>
      <c r="J37" s="10">
        <f aca="true" t="shared" si="4" ref="J37:J46">+CEILING(IF($J$35&lt;=G37,F37*0.3,0),0.05)</f>
        <v>3.4000000000000004</v>
      </c>
      <c r="K37" s="10">
        <f aca="true" t="shared" si="5" ref="K37:K46">+CEILING(IF($K$35&lt;=G37,F37*0.3,0),0.05)</f>
        <v>3.4000000000000004</v>
      </c>
      <c r="L37" s="10">
        <f aca="true" t="shared" si="6" ref="L37:L46">+CEILING(IF($L$35&lt;=G37,F37*0.3,0),0.05)</f>
        <v>3.4000000000000004</v>
      </c>
      <c r="M37" s="10">
        <f aca="true" t="shared" si="7" ref="M37:M46">CEILING(IF($M$35&lt;=G37,F37*0.3,0),0.05)</f>
        <v>0</v>
      </c>
    </row>
    <row r="38" spans="1:13" ht="12.75">
      <c r="A38" s="6">
        <v>2</v>
      </c>
      <c r="B38" s="31" t="s">
        <v>493</v>
      </c>
      <c r="C38" s="2" t="s">
        <v>40</v>
      </c>
      <c r="D38" s="2" t="s">
        <v>59</v>
      </c>
      <c r="E38" s="7">
        <v>2015</v>
      </c>
      <c r="F38" s="12">
        <v>8.75</v>
      </c>
      <c r="G38" s="13">
        <v>2019</v>
      </c>
      <c r="I38" s="10">
        <f t="shared" si="3"/>
        <v>2.6500000000000004</v>
      </c>
      <c r="J38" s="10">
        <f t="shared" si="4"/>
        <v>2.6500000000000004</v>
      </c>
      <c r="K38" s="10">
        <f t="shared" si="5"/>
        <v>2.6500000000000004</v>
      </c>
      <c r="L38" s="10">
        <f t="shared" si="6"/>
        <v>2.6500000000000004</v>
      </c>
      <c r="M38" s="10">
        <f t="shared" si="7"/>
        <v>0</v>
      </c>
    </row>
    <row r="39" spans="1:13" ht="12.75">
      <c r="A39" s="6">
        <v>3</v>
      </c>
      <c r="B39" s="31" t="s">
        <v>503</v>
      </c>
      <c r="C39" s="2" t="s">
        <v>43</v>
      </c>
      <c r="D39" s="2" t="s">
        <v>79</v>
      </c>
      <c r="E39" s="7">
        <v>2015</v>
      </c>
      <c r="F39" s="8">
        <v>7.5</v>
      </c>
      <c r="G39" s="13">
        <v>2019</v>
      </c>
      <c r="I39" s="10">
        <f t="shared" si="3"/>
        <v>2.25</v>
      </c>
      <c r="J39" s="10">
        <f t="shared" si="4"/>
        <v>2.25</v>
      </c>
      <c r="K39" s="10">
        <f t="shared" si="5"/>
        <v>2.25</v>
      </c>
      <c r="L39" s="10">
        <f t="shared" si="6"/>
        <v>2.25</v>
      </c>
      <c r="M39" s="10">
        <f t="shared" si="7"/>
        <v>0</v>
      </c>
    </row>
    <row r="40" spans="1:13" ht="12.75">
      <c r="A40" s="6">
        <v>4</v>
      </c>
      <c r="B40" s="31" t="s">
        <v>495</v>
      </c>
      <c r="C40" s="2" t="s">
        <v>38</v>
      </c>
      <c r="D40" s="2" t="s">
        <v>63</v>
      </c>
      <c r="E40" s="7">
        <v>2015</v>
      </c>
      <c r="F40" s="12">
        <v>2.9</v>
      </c>
      <c r="G40" s="13">
        <v>2019</v>
      </c>
      <c r="I40" s="10">
        <f t="shared" si="3"/>
        <v>0.9</v>
      </c>
      <c r="J40" s="10">
        <f t="shared" si="4"/>
        <v>0.9</v>
      </c>
      <c r="K40" s="10">
        <f t="shared" si="5"/>
        <v>0.9</v>
      </c>
      <c r="L40" s="10">
        <f t="shared" si="6"/>
        <v>0.9</v>
      </c>
      <c r="M40" s="10">
        <f t="shared" si="7"/>
        <v>0</v>
      </c>
    </row>
    <row r="41" spans="1:13" ht="12.75">
      <c r="A41" s="6">
        <v>5</v>
      </c>
      <c r="B41" s="1" t="s">
        <v>456</v>
      </c>
      <c r="C41" s="2" t="s">
        <v>42</v>
      </c>
      <c r="D41" s="2" t="s">
        <v>87</v>
      </c>
      <c r="E41" s="7">
        <v>2015</v>
      </c>
      <c r="F41" s="8">
        <v>2.9</v>
      </c>
      <c r="G41" s="13">
        <v>2019</v>
      </c>
      <c r="I41" s="10">
        <f t="shared" si="3"/>
        <v>0.9</v>
      </c>
      <c r="J41" s="10">
        <f t="shared" si="4"/>
        <v>0.9</v>
      </c>
      <c r="K41" s="10">
        <f t="shared" si="5"/>
        <v>0.9</v>
      </c>
      <c r="L41" s="10">
        <f t="shared" si="6"/>
        <v>0.9</v>
      </c>
      <c r="M41" s="10">
        <f t="shared" si="7"/>
        <v>0</v>
      </c>
    </row>
    <row r="42" spans="1:13" ht="12.75">
      <c r="A42" s="6">
        <v>6</v>
      </c>
      <c r="B42" s="31" t="s">
        <v>505</v>
      </c>
      <c r="C42" s="30" t="s">
        <v>43</v>
      </c>
      <c r="D42" s="30" t="s">
        <v>88</v>
      </c>
      <c r="E42" s="7">
        <v>2015</v>
      </c>
      <c r="F42" s="8">
        <v>2.9</v>
      </c>
      <c r="G42" s="13">
        <v>2019</v>
      </c>
      <c r="I42" s="10">
        <f t="shared" si="3"/>
        <v>0.9</v>
      </c>
      <c r="J42" s="10">
        <f t="shared" si="4"/>
        <v>0.9</v>
      </c>
      <c r="K42" s="10">
        <f t="shared" si="5"/>
        <v>0.9</v>
      </c>
      <c r="L42" s="10">
        <f t="shared" si="6"/>
        <v>0.9</v>
      </c>
      <c r="M42" s="10">
        <f t="shared" si="7"/>
        <v>0</v>
      </c>
    </row>
    <row r="43" spans="1:13" ht="12.75">
      <c r="A43" s="6">
        <v>7</v>
      </c>
      <c r="B43" s="31" t="s">
        <v>492</v>
      </c>
      <c r="C43" s="30" t="s">
        <v>44</v>
      </c>
      <c r="D43" s="30" t="s">
        <v>85</v>
      </c>
      <c r="E43" s="7">
        <v>2015</v>
      </c>
      <c r="F43" s="8">
        <v>2.9</v>
      </c>
      <c r="G43" s="13">
        <v>2019</v>
      </c>
      <c r="I43" s="10">
        <f t="shared" si="3"/>
        <v>0.9</v>
      </c>
      <c r="J43" s="10">
        <f t="shared" si="4"/>
        <v>0.9</v>
      </c>
      <c r="K43" s="10">
        <f t="shared" si="5"/>
        <v>0.9</v>
      </c>
      <c r="L43" s="10">
        <f t="shared" si="6"/>
        <v>0.9</v>
      </c>
      <c r="M43" s="10">
        <f t="shared" si="7"/>
        <v>0</v>
      </c>
    </row>
    <row r="44" spans="1:13" ht="12.75">
      <c r="A44" s="6">
        <v>8</v>
      </c>
      <c r="B44" s="31" t="s">
        <v>494</v>
      </c>
      <c r="C44" s="2" t="s">
        <v>39</v>
      </c>
      <c r="D44" s="2" t="s">
        <v>59</v>
      </c>
      <c r="E44" s="7">
        <v>2016</v>
      </c>
      <c r="F44" s="8">
        <v>2.9</v>
      </c>
      <c r="G44" s="13">
        <v>2019</v>
      </c>
      <c r="I44" s="10">
        <f t="shared" si="3"/>
        <v>2.9000000000000004</v>
      </c>
      <c r="J44" s="10">
        <f t="shared" si="4"/>
        <v>0.9</v>
      </c>
      <c r="K44" s="10">
        <f t="shared" si="5"/>
        <v>0.9</v>
      </c>
      <c r="L44" s="10">
        <f t="shared" si="6"/>
        <v>0.9</v>
      </c>
      <c r="M44" s="10">
        <f t="shared" si="7"/>
        <v>0</v>
      </c>
    </row>
    <row r="45" spans="1:13" ht="12.75">
      <c r="A45" s="6">
        <v>9</v>
      </c>
      <c r="B45" s="31" t="s">
        <v>391</v>
      </c>
      <c r="C45" s="2" t="s">
        <v>40</v>
      </c>
      <c r="D45" s="2" t="s">
        <v>58</v>
      </c>
      <c r="E45" s="7">
        <v>2016</v>
      </c>
      <c r="F45" s="8">
        <v>2.9</v>
      </c>
      <c r="G45" s="13">
        <v>2019</v>
      </c>
      <c r="I45" s="10">
        <f t="shared" si="3"/>
        <v>2.9000000000000004</v>
      </c>
      <c r="J45" s="10">
        <f t="shared" si="4"/>
        <v>0.9</v>
      </c>
      <c r="K45" s="10">
        <f t="shared" si="5"/>
        <v>0.9</v>
      </c>
      <c r="L45" s="10">
        <f t="shared" si="6"/>
        <v>0.9</v>
      </c>
      <c r="M45" s="10">
        <f t="shared" si="7"/>
        <v>0</v>
      </c>
    </row>
    <row r="46" spans="1:13" ht="12.75">
      <c r="A46" s="6">
        <v>10</v>
      </c>
      <c r="B46" s="1" t="s">
        <v>484</v>
      </c>
      <c r="C46" s="2" t="s">
        <v>43</v>
      </c>
      <c r="D46" s="2" t="s">
        <v>73</v>
      </c>
      <c r="E46" s="7">
        <v>2016</v>
      </c>
      <c r="F46" s="8">
        <v>2.9</v>
      </c>
      <c r="G46" s="13">
        <v>2019</v>
      </c>
      <c r="I46" s="10">
        <f t="shared" si="3"/>
        <v>2.9000000000000004</v>
      </c>
      <c r="J46" s="10">
        <f t="shared" si="4"/>
        <v>0.9</v>
      </c>
      <c r="K46" s="10">
        <f t="shared" si="5"/>
        <v>0.9</v>
      </c>
      <c r="L46" s="10">
        <f t="shared" si="6"/>
        <v>0.9</v>
      </c>
      <c r="M46" s="10">
        <f t="shared" si="7"/>
        <v>0</v>
      </c>
    </row>
    <row r="47" spans="1:13" ht="12.75">
      <c r="A47" s="6">
        <v>11</v>
      </c>
      <c r="B47" s="1" t="s">
        <v>500</v>
      </c>
      <c r="C47" s="2" t="s">
        <v>39</v>
      </c>
      <c r="D47" s="2" t="s">
        <v>72</v>
      </c>
      <c r="E47" s="7">
        <v>2016</v>
      </c>
      <c r="F47" s="8">
        <v>2.9</v>
      </c>
      <c r="G47" s="13">
        <v>2019</v>
      </c>
      <c r="I47" s="10">
        <f aca="true" t="shared" si="8" ref="I47:I54">+CEILING(IF($I$35=E47,F47,IF($I$35&lt;=G47,F47*0.3,0)),0.05)</f>
        <v>2.9000000000000004</v>
      </c>
      <c r="J47" s="10">
        <f aca="true" t="shared" si="9" ref="J47:J54">+CEILING(IF($J$35&lt;=G47,F47*0.3,0),0.05)</f>
        <v>0.9</v>
      </c>
      <c r="K47" s="10">
        <f aca="true" t="shared" si="10" ref="K47:K54">+CEILING(IF($K$35&lt;=G47,F47*0.3,0),0.05)</f>
        <v>0.9</v>
      </c>
      <c r="L47" s="10">
        <f aca="true" t="shared" si="11" ref="L47:L54">+CEILING(IF($L$35&lt;=G47,F47*0.3,0),0.05)</f>
        <v>0.9</v>
      </c>
      <c r="M47" s="10">
        <f aca="true" t="shared" si="12" ref="M47:M54">CEILING(IF($M$35&lt;=G47,F47*0.3,0),0.05)</f>
        <v>0</v>
      </c>
    </row>
    <row r="48" spans="1:13" ht="12.75">
      <c r="A48" s="6">
        <v>12</v>
      </c>
      <c r="B48" s="31" t="s">
        <v>360</v>
      </c>
      <c r="C48" s="2" t="s">
        <v>43</v>
      </c>
      <c r="D48" s="2" t="s">
        <v>78</v>
      </c>
      <c r="E48" s="7">
        <v>2014</v>
      </c>
      <c r="F48" s="8">
        <v>2.75</v>
      </c>
      <c r="G48" s="9">
        <v>2018</v>
      </c>
      <c r="I48" s="10">
        <f t="shared" si="8"/>
        <v>0.8500000000000001</v>
      </c>
      <c r="J48" s="10">
        <f t="shared" si="9"/>
        <v>0.8500000000000001</v>
      </c>
      <c r="K48" s="10">
        <f t="shared" si="10"/>
        <v>0.8500000000000001</v>
      </c>
      <c r="L48" s="10">
        <f t="shared" si="11"/>
        <v>0</v>
      </c>
      <c r="M48" s="10">
        <f t="shared" si="12"/>
        <v>0</v>
      </c>
    </row>
    <row r="49" spans="1:13" ht="12.75">
      <c r="A49" s="6">
        <v>13</v>
      </c>
      <c r="B49" s="31" t="s">
        <v>210</v>
      </c>
      <c r="C49" s="2" t="s">
        <v>39</v>
      </c>
      <c r="D49" s="2" t="s">
        <v>59</v>
      </c>
      <c r="E49" s="7">
        <v>2013</v>
      </c>
      <c r="F49" s="8">
        <v>7.65</v>
      </c>
      <c r="G49" s="9">
        <v>2017</v>
      </c>
      <c r="I49" s="10">
        <f t="shared" si="8"/>
        <v>2.3000000000000003</v>
      </c>
      <c r="J49" s="10">
        <f t="shared" si="9"/>
        <v>2.3000000000000003</v>
      </c>
      <c r="K49" s="10">
        <f t="shared" si="10"/>
        <v>0</v>
      </c>
      <c r="L49" s="10">
        <f t="shared" si="11"/>
        <v>0</v>
      </c>
      <c r="M49" s="10">
        <f t="shared" si="12"/>
        <v>0</v>
      </c>
    </row>
    <row r="50" spans="1:13" ht="12.75">
      <c r="A50" s="6">
        <v>14</v>
      </c>
      <c r="B50" s="1" t="s">
        <v>250</v>
      </c>
      <c r="C50" s="2" t="s">
        <v>40</v>
      </c>
      <c r="D50" s="2" t="s">
        <v>83</v>
      </c>
      <c r="E50" s="7">
        <v>2014</v>
      </c>
      <c r="F50" s="8">
        <v>7</v>
      </c>
      <c r="G50" s="9">
        <v>2017</v>
      </c>
      <c r="I50" s="10">
        <f t="shared" si="8"/>
        <v>2.1</v>
      </c>
      <c r="J50" s="10">
        <f t="shared" si="9"/>
        <v>2.1</v>
      </c>
      <c r="K50" s="10">
        <f t="shared" si="10"/>
        <v>0</v>
      </c>
      <c r="L50" s="10">
        <f t="shared" si="11"/>
        <v>0</v>
      </c>
      <c r="M50" s="10">
        <f t="shared" si="12"/>
        <v>0</v>
      </c>
    </row>
    <row r="51" spans="1:13" ht="12.75">
      <c r="A51" s="6">
        <v>15</v>
      </c>
      <c r="B51" s="1" t="s">
        <v>245</v>
      </c>
      <c r="C51" s="2" t="s">
        <v>44</v>
      </c>
      <c r="D51" s="2" t="s">
        <v>65</v>
      </c>
      <c r="E51" s="7">
        <v>2015</v>
      </c>
      <c r="F51" s="12">
        <v>5.55</v>
      </c>
      <c r="G51" s="13">
        <v>2017</v>
      </c>
      <c r="I51" s="10">
        <f t="shared" si="8"/>
        <v>1.7000000000000002</v>
      </c>
      <c r="J51" s="10">
        <f t="shared" si="9"/>
        <v>1.7000000000000002</v>
      </c>
      <c r="K51" s="10">
        <f t="shared" si="10"/>
        <v>0</v>
      </c>
      <c r="L51" s="10">
        <f t="shared" si="11"/>
        <v>0</v>
      </c>
      <c r="M51" s="10">
        <f t="shared" si="12"/>
        <v>0</v>
      </c>
    </row>
    <row r="52" spans="1:13" ht="12.75">
      <c r="A52" s="6">
        <v>16</v>
      </c>
      <c r="B52" s="31" t="s">
        <v>239</v>
      </c>
      <c r="C52" s="2" t="s">
        <v>38</v>
      </c>
      <c r="D52" s="2" t="s">
        <v>85</v>
      </c>
      <c r="E52" s="7">
        <v>2013</v>
      </c>
      <c r="F52" s="12">
        <v>2.55</v>
      </c>
      <c r="G52" s="13">
        <v>2017</v>
      </c>
      <c r="I52" s="10">
        <f t="shared" si="8"/>
        <v>0.8</v>
      </c>
      <c r="J52" s="10">
        <f t="shared" si="9"/>
        <v>0.8</v>
      </c>
      <c r="K52" s="10">
        <f t="shared" si="10"/>
        <v>0</v>
      </c>
      <c r="L52" s="10">
        <f t="shared" si="11"/>
        <v>0</v>
      </c>
      <c r="M52" s="10">
        <f t="shared" si="12"/>
        <v>0</v>
      </c>
    </row>
    <row r="53" spans="1:13" ht="12.75">
      <c r="A53" s="6">
        <v>17</v>
      </c>
      <c r="B53" s="31" t="s">
        <v>361</v>
      </c>
      <c r="C53" s="2" t="s">
        <v>43</v>
      </c>
      <c r="D53" s="2" t="s">
        <v>60</v>
      </c>
      <c r="E53" s="7">
        <v>2014</v>
      </c>
      <c r="F53" s="8">
        <v>5.5</v>
      </c>
      <c r="G53" s="13">
        <v>2016</v>
      </c>
      <c r="I53" s="10">
        <f t="shared" si="8"/>
        <v>1.6500000000000001</v>
      </c>
      <c r="J53" s="10">
        <f t="shared" si="9"/>
        <v>0</v>
      </c>
      <c r="K53" s="10">
        <f t="shared" si="10"/>
        <v>0</v>
      </c>
      <c r="L53" s="10">
        <f t="shared" si="11"/>
        <v>0</v>
      </c>
      <c r="M53" s="10">
        <f t="shared" si="12"/>
        <v>0</v>
      </c>
    </row>
    <row r="54" spans="1:13" ht="12.75">
      <c r="A54" s="6">
        <v>18</v>
      </c>
      <c r="B54" s="1" t="s">
        <v>168</v>
      </c>
      <c r="C54" s="2" t="s">
        <v>41</v>
      </c>
      <c r="D54" s="2" t="s">
        <v>89</v>
      </c>
      <c r="E54" s="7">
        <v>2014</v>
      </c>
      <c r="F54" s="8">
        <v>5</v>
      </c>
      <c r="G54" s="9">
        <v>2016</v>
      </c>
      <c r="I54" s="10">
        <f t="shared" si="8"/>
        <v>1.5</v>
      </c>
      <c r="J54" s="10">
        <f t="shared" si="9"/>
        <v>0</v>
      </c>
      <c r="K54" s="10">
        <f t="shared" si="10"/>
        <v>0</v>
      </c>
      <c r="L54" s="10">
        <f t="shared" si="11"/>
        <v>0</v>
      </c>
      <c r="M54" s="10">
        <f t="shared" si="12"/>
        <v>0</v>
      </c>
    </row>
    <row r="55" spans="1:13" ht="12.75">
      <c r="A55" s="6">
        <v>19</v>
      </c>
      <c r="B55" s="31" t="s">
        <v>596</v>
      </c>
      <c r="C55" s="30" t="s">
        <v>42</v>
      </c>
      <c r="D55" s="30" t="s">
        <v>68</v>
      </c>
      <c r="E55" s="7" t="s">
        <v>557</v>
      </c>
      <c r="F55" s="8">
        <v>5</v>
      </c>
      <c r="G55" s="13">
        <v>2016</v>
      </c>
      <c r="I55" s="10">
        <f>+CEILING(IF($I$35=E55,F55,IF($I$35&lt;=G55,F55*0.3,0)),0.05)</f>
        <v>1.5</v>
      </c>
      <c r="J55" s="10">
        <f>+CEILING(IF($J$35&lt;=G55,F55*0.3,0),0.05)</f>
        <v>0</v>
      </c>
      <c r="K55" s="10">
        <f>+CEILING(IF($K$35&lt;=G55,F55*0.3,0),0.05)</f>
        <v>0</v>
      </c>
      <c r="L55" s="10">
        <f>+CEILING(IF($L$35&lt;=G55,F55*0.3,0),0.05)</f>
        <v>0</v>
      </c>
      <c r="M55" s="10">
        <f>CEILING(IF($M$35&lt;=G55,F55*0.3,0),0.05)</f>
        <v>0</v>
      </c>
    </row>
    <row r="56" spans="1:13" ht="12.75">
      <c r="A56" s="6">
        <v>20</v>
      </c>
      <c r="B56" s="1" t="s">
        <v>785</v>
      </c>
      <c r="C56" s="2" t="s">
        <v>39</v>
      </c>
      <c r="D56" s="2" t="s">
        <v>59</v>
      </c>
      <c r="E56" s="2">
        <v>2016</v>
      </c>
      <c r="F56" s="12">
        <v>3</v>
      </c>
      <c r="G56" s="13">
        <v>2016</v>
      </c>
      <c r="I56" s="10">
        <f>+CEILING(IF($I$35=E56,F56,IF($I$35&lt;=G56,F56*0.3,0)),0.05)</f>
        <v>3</v>
      </c>
      <c r="J56" s="10">
        <f>+CEILING(IF($J$35&lt;=G56,F56*0.3,0),0.05)</f>
        <v>0</v>
      </c>
      <c r="K56" s="10">
        <f>+CEILING(IF($K$35&lt;=G56,F56*0.3,0),0.05)</f>
        <v>0</v>
      </c>
      <c r="L56" s="10">
        <f>+CEILING(IF($L$35&lt;=G56,F56*0.3,0),0.05)</f>
        <v>0</v>
      </c>
      <c r="M56" s="10">
        <f>CEILING(IF($M$35&lt;=G56,F56*0.3,0),0.05)</f>
        <v>0</v>
      </c>
    </row>
    <row r="57" spans="1:13" ht="12.75">
      <c r="A57" s="6">
        <v>21</v>
      </c>
      <c r="B57" s="1" t="s">
        <v>751</v>
      </c>
      <c r="C57" s="2" t="s">
        <v>42</v>
      </c>
      <c r="D57" s="2" t="s">
        <v>86</v>
      </c>
      <c r="E57" s="2">
        <v>2016</v>
      </c>
      <c r="F57" s="12">
        <v>3</v>
      </c>
      <c r="G57" s="13">
        <v>2016</v>
      </c>
      <c r="I57" s="10">
        <f>+CEILING(IF($I$35=E57,F57,IF($I$35&lt;=G57,F57*0.3,0)),0.05)</f>
        <v>3</v>
      </c>
      <c r="J57" s="10">
        <f>+CEILING(IF($J$35&lt;=G57,F57*0.3,0),0.05)</f>
        <v>0</v>
      </c>
      <c r="K57" s="10">
        <f>+CEILING(IF($K$35&lt;=G57,F57*0.3,0),0.05)</f>
        <v>0</v>
      </c>
      <c r="L57" s="10">
        <f>+CEILING(IF($L$35&lt;=G57,F57*0.3,0),0.05)</f>
        <v>0</v>
      </c>
      <c r="M57" s="10">
        <f>CEILING(IF($M$35&lt;=G57,F57*0.3,0),0.05)</f>
        <v>0</v>
      </c>
    </row>
    <row r="58" spans="1:13" ht="12.75">
      <c r="A58" s="6">
        <v>22</v>
      </c>
      <c r="B58" s="31" t="s">
        <v>144</v>
      </c>
      <c r="C58" s="30" t="s">
        <v>39</v>
      </c>
      <c r="D58" s="30" t="s">
        <v>69</v>
      </c>
      <c r="E58" s="32">
        <v>2015</v>
      </c>
      <c r="F58" s="8">
        <v>2.35</v>
      </c>
      <c r="G58" s="9">
        <v>2016</v>
      </c>
      <c r="I58" s="10">
        <f>+CEILING(IF($I$35=E58,F58,IF($I$35&lt;=G58,F58*0.3,0)),0.05)</f>
        <v>0.75</v>
      </c>
      <c r="J58" s="10">
        <f>+CEILING(IF($J$35&lt;=G58,F58*0.3,0),0.05)</f>
        <v>0</v>
      </c>
      <c r="K58" s="10">
        <f>+CEILING(IF($K$35&lt;=G58,F58*0.3,0),0.05)</f>
        <v>0</v>
      </c>
      <c r="L58" s="10">
        <f>+CEILING(IF($L$35&lt;=G58,F58*0.3,0),0.05)</f>
        <v>0</v>
      </c>
      <c r="M58" s="10">
        <f>CEILING(IF($M$35&lt;=G58,F58*0.3,0),0.05)</f>
        <v>0</v>
      </c>
    </row>
    <row r="59" spans="9:13" ht="7.5" customHeight="1">
      <c r="I59" s="14"/>
      <c r="J59" s="14"/>
      <c r="K59" s="14"/>
      <c r="L59" s="14"/>
      <c r="M59" s="14"/>
    </row>
    <row r="60" spans="4:13" ht="12.75">
      <c r="D60" s="2"/>
      <c r="E60" s="7"/>
      <c r="F60" s="12"/>
      <c r="G60" s="13"/>
      <c r="I60" s="15">
        <f>+SUM(I37:I59)</f>
        <v>42.650000000000006</v>
      </c>
      <c r="J60" s="15">
        <f>+SUM(J37:J59)</f>
        <v>23.250000000000007</v>
      </c>
      <c r="K60" s="15">
        <f>+SUM(K37:K59)</f>
        <v>16.350000000000005</v>
      </c>
      <c r="L60" s="15">
        <f>+SUM(L37:L59)</f>
        <v>15.500000000000004</v>
      </c>
      <c r="M60" s="15">
        <f>+SUM(M37:M59)</f>
        <v>0</v>
      </c>
    </row>
    <row r="61" spans="9:13" ht="12.75">
      <c r="I61" s="16"/>
      <c r="J61" s="16"/>
      <c r="K61" s="16"/>
      <c r="L61" s="16"/>
      <c r="M61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Court&amp;R&amp;"Copperplate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2006-02-11T21:54:44Z</cp:lastPrinted>
  <dcterms:created xsi:type="dcterms:W3CDTF">2002-01-02T00:23:28Z</dcterms:created>
  <dcterms:modified xsi:type="dcterms:W3CDTF">2017-08-19T01:16:38Z</dcterms:modified>
  <cp:category/>
  <cp:version/>
  <cp:contentType/>
  <cp:contentStatus/>
</cp:coreProperties>
</file>